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FRAHQEWFS001VG.ad.dot.gov\FRASNS\FRA_RPD\RPD_30\REPORTS_in progress or completed\RDT Reports\TR\RPD-32\MSh\Hi Speed Rail Noise Mitigation\"/>
    </mc:Choice>
  </mc:AlternateContent>
  <xr:revisionPtr revIDLastSave="0" documentId="13_ncr:1_{4ACCF41F-88EA-4E82-B61E-519B1130A102}" xr6:coauthVersionLast="45" xr6:coauthVersionMax="45" xr10:uidLastSave="{00000000-0000-0000-0000-000000000000}"/>
  <bookViews>
    <workbookView xWindow="28680" yWindow="-120" windowWidth="29040" windowHeight="15840" xr2:uid="{00000000-000D-0000-FFFF-FFFF00000000}"/>
  </bookViews>
  <sheets>
    <sheet name="Program Index &amp; Flow Chart" sheetId="21" r:id="rId1"/>
    <sheet name="Program Overview" sheetId="1" r:id="rId2"/>
    <sheet name="Train Set Data Requirements" sheetId="6" r:id="rId3"/>
    <sheet name="Passby Data Library Summary" sheetId="2" r:id="rId4"/>
    <sheet name="Regulations (US EU China Japan)" sheetId="3" r:id="rId5"/>
    <sheet name="Common Reference Analysis" sheetId="5" r:id="rId6"/>
    <sheet name="Data Set Comparisons" sheetId="17" r:id="rId7"/>
    <sheet name="Passby Data Set 1" sheetId="7" r:id="rId8"/>
    <sheet name="Passby Data Set 1 Output" sheetId="4" r:id="rId9"/>
    <sheet name="Passby Data Set 2" sheetId="9" r:id="rId10"/>
    <sheet name="Passby Data Set 2 Output" sheetId="10" r:id="rId11"/>
    <sheet name="Passby Data Set 3" sheetId="11" r:id="rId12"/>
    <sheet name="Passby Data Set 3 Output" sheetId="12" r:id="rId13"/>
    <sheet name="Passby Data Set 4" sheetId="13" r:id="rId14"/>
    <sheet name="Passby Data Set 4 Output" sheetId="14" r:id="rId15"/>
    <sheet name="Passby Data Set 5" sheetId="15" r:id="rId16"/>
    <sheet name="Passby Data Set 5 Output" sheetId="16" r:id="rId17"/>
    <sheet name="Common Reference Data Set" sheetId="19" r:id="rId18"/>
    <sheet name="Common ReferenceData Set Output" sheetId="20" r:id="rId19"/>
  </sheets>
  <definedNames>
    <definedName name="_Toc483907964" localSheetId="2">'Train Set Data Requirements'!$E$168</definedName>
    <definedName name="_Toc483907965" localSheetId="2">'Train Set Data Requirements'!$D$196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6" i="3" l="1"/>
  <c r="P6" i="3"/>
  <c r="M6" i="1"/>
  <c r="K6" i="1"/>
  <c r="S7" i="20" l="1"/>
  <c r="R7" i="20"/>
  <c r="N6" i="19"/>
  <c r="M6" i="19"/>
  <c r="S7" i="16"/>
  <c r="R7" i="16"/>
  <c r="N6" i="15"/>
  <c r="M6" i="15"/>
  <c r="S7" i="14"/>
  <c r="R7" i="14"/>
  <c r="N6" i="13"/>
  <c r="M6" i="13"/>
  <c r="N6" i="11"/>
  <c r="M6" i="11"/>
  <c r="S7" i="10"/>
  <c r="R7" i="10"/>
  <c r="N6" i="9"/>
  <c r="M6" i="9"/>
  <c r="S7" i="4"/>
  <c r="R7" i="4"/>
  <c r="N6" i="7"/>
  <c r="M6" i="7"/>
  <c r="S7" i="17"/>
  <c r="R7" i="17"/>
  <c r="R7" i="5"/>
  <c r="Q7" i="5"/>
  <c r="L6" i="2"/>
  <c r="K6" i="2"/>
  <c r="N6" i="6"/>
  <c r="L6" i="6"/>
  <c r="N200" i="5"/>
  <c r="N199" i="5"/>
  <c r="N198" i="5"/>
  <c r="N197" i="5"/>
  <c r="N196" i="5"/>
  <c r="N195" i="5"/>
  <c r="N194" i="5"/>
  <c r="N193" i="5"/>
  <c r="O192" i="5"/>
  <c r="N192" i="5"/>
  <c r="O191" i="5"/>
  <c r="N191" i="5"/>
  <c r="N155" i="5"/>
  <c r="N154" i="5"/>
  <c r="N153" i="5"/>
  <c r="N152" i="5"/>
  <c r="N151" i="5"/>
  <c r="N150" i="5"/>
  <c r="N149" i="5"/>
  <c r="N148" i="5"/>
  <c r="O147" i="5"/>
  <c r="N147" i="5"/>
  <c r="O146" i="5"/>
  <c r="N146" i="5"/>
  <c r="N105" i="5"/>
  <c r="N104" i="5"/>
  <c r="N103" i="5"/>
  <c r="N102" i="5"/>
  <c r="N101" i="5"/>
  <c r="N100" i="5"/>
  <c r="N99" i="5"/>
  <c r="N98" i="5"/>
  <c r="O97" i="5"/>
  <c r="N97" i="5"/>
  <c r="O96" i="5"/>
  <c r="N96" i="5"/>
  <c r="O50" i="5"/>
  <c r="O49" i="5"/>
  <c r="N50" i="5"/>
  <c r="N51" i="5"/>
  <c r="N52" i="5"/>
  <c r="N53" i="5"/>
  <c r="N54" i="5"/>
  <c r="N55" i="5"/>
  <c r="N56" i="5"/>
  <c r="N57" i="5"/>
  <c r="N58" i="5"/>
  <c r="N49" i="5"/>
  <c r="G22" i="5"/>
  <c r="G21" i="5"/>
  <c r="F22" i="5"/>
  <c r="F23" i="5"/>
  <c r="F24" i="5"/>
  <c r="F25" i="5"/>
  <c r="F26" i="5"/>
  <c r="F27" i="5"/>
  <c r="F28" i="5"/>
  <c r="F21" i="5"/>
  <c r="P147" i="5" l="1"/>
  <c r="P49" i="5"/>
  <c r="P50" i="5"/>
  <c r="P97" i="5"/>
  <c r="P96" i="5"/>
  <c r="P146" i="5"/>
  <c r="P191" i="5"/>
  <c r="H21" i="5"/>
  <c r="H22" i="5"/>
  <c r="P192" i="5"/>
  <c r="H149" i="5" l="1"/>
  <c r="G149" i="5"/>
  <c r="F149" i="5"/>
  <c r="E149" i="5"/>
  <c r="D143" i="5"/>
  <c r="H99" i="5"/>
  <c r="G99" i="5"/>
  <c r="F99" i="5"/>
  <c r="E99" i="5"/>
  <c r="D92" i="5"/>
  <c r="G52" i="5"/>
  <c r="H52" i="5"/>
  <c r="F52" i="5"/>
  <c r="E52" i="5"/>
  <c r="D45" i="5"/>
  <c r="D44" i="5"/>
  <c r="C376" i="17"/>
  <c r="H96" i="5" l="1"/>
  <c r="H97" i="5" s="1"/>
  <c r="G146" i="5"/>
  <c r="G147" i="5" s="1"/>
  <c r="F146" i="5"/>
  <c r="F147" i="5" s="1"/>
  <c r="H146" i="5"/>
  <c r="H147" i="5" s="1"/>
  <c r="E146" i="5"/>
  <c r="E147" i="5" s="1"/>
  <c r="G96" i="5"/>
  <c r="G97" i="5" s="1"/>
  <c r="E96" i="5"/>
  <c r="E97" i="5" s="1"/>
  <c r="D93" i="5"/>
  <c r="F96" i="5"/>
  <c r="F97" i="5" s="1"/>
  <c r="H49" i="5"/>
  <c r="H50" i="5" s="1"/>
  <c r="F49" i="5"/>
  <c r="F50" i="5" s="1"/>
  <c r="G49" i="5"/>
  <c r="G50" i="5" s="1"/>
  <c r="E49" i="5"/>
  <c r="E50" i="5" s="1"/>
  <c r="D176" i="20"/>
  <c r="D166" i="20"/>
  <c r="D156" i="20"/>
  <c r="D146" i="20"/>
  <c r="D25" i="19"/>
  <c r="D26" i="19"/>
  <c r="D27" i="19"/>
  <c r="D41" i="20" s="1"/>
  <c r="D28" i="19"/>
  <c r="D29" i="19"/>
  <c r="D30" i="19"/>
  <c r="D31" i="19"/>
  <c r="D45" i="20" s="1"/>
  <c r="D32" i="19"/>
  <c r="D33" i="19"/>
  <c r="D34" i="19"/>
  <c r="D35" i="19"/>
  <c r="D49" i="20" s="1"/>
  <c r="D36" i="19"/>
  <c r="D37" i="19"/>
  <c r="D38" i="19"/>
  <c r="D52" i="20" s="1"/>
  <c r="D39" i="19"/>
  <c r="D53" i="20" s="1"/>
  <c r="D40" i="19"/>
  <c r="D41" i="19"/>
  <c r="D42" i="19"/>
  <c r="D43" i="19"/>
  <c r="D57" i="20" s="1"/>
  <c r="D44" i="19"/>
  <c r="D58" i="20" s="1"/>
  <c r="D45" i="19"/>
  <c r="D46" i="19"/>
  <c r="I38" i="20" s="1"/>
  <c r="D47" i="19"/>
  <c r="I39" i="20" s="1"/>
  <c r="D48" i="19"/>
  <c r="D49" i="19"/>
  <c r="D50" i="19"/>
  <c r="I42" i="20" s="1"/>
  <c r="D51" i="19"/>
  <c r="I43" i="20" s="1"/>
  <c r="D52" i="19"/>
  <c r="D53" i="19"/>
  <c r="D54" i="19"/>
  <c r="I46" i="20" s="1"/>
  <c r="D55" i="19"/>
  <c r="I47" i="20" s="1"/>
  <c r="D56" i="19"/>
  <c r="D57" i="19"/>
  <c r="D58" i="19"/>
  <c r="D59" i="19"/>
  <c r="I51" i="20" s="1"/>
  <c r="D60" i="19"/>
  <c r="I52" i="20" s="1"/>
  <c r="D61" i="19"/>
  <c r="D62" i="19"/>
  <c r="I54" i="20" s="1"/>
  <c r="D63" i="19"/>
  <c r="I55" i="20" s="1"/>
  <c r="D64" i="19"/>
  <c r="I56" i="20" s="1"/>
  <c r="D65" i="19"/>
  <c r="D66" i="19"/>
  <c r="D67" i="19"/>
  <c r="I59" i="20" s="1"/>
  <c r="D68" i="19"/>
  <c r="D69" i="19"/>
  <c r="D70" i="19"/>
  <c r="N40" i="20" s="1"/>
  <c r="D71" i="19"/>
  <c r="N41" i="20" s="1"/>
  <c r="D72" i="19"/>
  <c r="N42" i="20" s="1"/>
  <c r="D73" i="19"/>
  <c r="D74" i="19"/>
  <c r="D75" i="19"/>
  <c r="N45" i="20" s="1"/>
  <c r="D76" i="19"/>
  <c r="D77" i="19"/>
  <c r="D78" i="19"/>
  <c r="N48" i="20" s="1"/>
  <c r="D79" i="19"/>
  <c r="N49" i="20" s="1"/>
  <c r="D80" i="19"/>
  <c r="D81" i="19"/>
  <c r="D82" i="19"/>
  <c r="N52" i="20" s="1"/>
  <c r="D83" i="19"/>
  <c r="N53" i="20" s="1"/>
  <c r="D84" i="19"/>
  <c r="N54" i="20" s="1"/>
  <c r="D85" i="19"/>
  <c r="D86" i="19"/>
  <c r="N56" i="20" s="1"/>
  <c r="D87" i="19"/>
  <c r="N57" i="20" s="1"/>
  <c r="D88" i="19"/>
  <c r="D89" i="19"/>
  <c r="D90" i="19"/>
  <c r="S38" i="20" s="1"/>
  <c r="D91" i="19"/>
  <c r="S39" i="20" s="1"/>
  <c r="D92" i="19"/>
  <c r="D93" i="19"/>
  <c r="D94" i="19"/>
  <c r="E94" i="19" s="1"/>
  <c r="T42" i="20" s="1"/>
  <c r="U42" i="20" s="1"/>
  <c r="D95" i="19"/>
  <c r="S43" i="20" s="1"/>
  <c r="D96" i="19"/>
  <c r="S44" i="20" s="1"/>
  <c r="D97" i="19"/>
  <c r="D98" i="19"/>
  <c r="S46" i="20" s="1"/>
  <c r="D99" i="19"/>
  <c r="S47" i="20" s="1"/>
  <c r="D100" i="19"/>
  <c r="S48" i="20" s="1"/>
  <c r="D102" i="19"/>
  <c r="E102" i="19" s="1"/>
  <c r="T50" i="20" s="1"/>
  <c r="U50" i="20" s="1"/>
  <c r="D103" i="19"/>
  <c r="D104" i="19"/>
  <c r="S52" i="20" s="1"/>
  <c r="D105" i="19"/>
  <c r="D106" i="19"/>
  <c r="S54" i="20" s="1"/>
  <c r="D108" i="19"/>
  <c r="D24" i="19"/>
  <c r="D38" i="20" s="1"/>
  <c r="D46" i="20"/>
  <c r="D54" i="20"/>
  <c r="I40" i="20"/>
  <c r="I48" i="20"/>
  <c r="I58" i="20"/>
  <c r="N44" i="20"/>
  <c r="E80" i="19"/>
  <c r="O50" i="20" s="1"/>
  <c r="P50" i="20" s="1"/>
  <c r="E88" i="19"/>
  <c r="O58" i="20" s="1"/>
  <c r="P58" i="20" s="1"/>
  <c r="S40" i="20"/>
  <c r="S56" i="20"/>
  <c r="D42" i="20"/>
  <c r="D50" i="20"/>
  <c r="I44" i="20"/>
  <c r="E82" i="19"/>
  <c r="O52" i="20" s="1"/>
  <c r="P52" i="20" s="1"/>
  <c r="E90" i="19"/>
  <c r="T38" i="20" s="1"/>
  <c r="U38" i="20" s="1"/>
  <c r="E98" i="19"/>
  <c r="T46" i="20" s="1"/>
  <c r="U46" i="20" s="1"/>
  <c r="E106" i="19"/>
  <c r="T54" i="20" s="1"/>
  <c r="U54" i="20" s="1"/>
  <c r="D40" i="20"/>
  <c r="D44" i="20"/>
  <c r="D48" i="20"/>
  <c r="D56" i="20"/>
  <c r="I50" i="20"/>
  <c r="N38" i="20"/>
  <c r="N46" i="20"/>
  <c r="S50" i="20"/>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24" i="19"/>
  <c r="S41" i="20"/>
  <c r="S45" i="20"/>
  <c r="S49" i="20"/>
  <c r="S51" i="20"/>
  <c r="S53" i="20"/>
  <c r="S55" i="20"/>
  <c r="N39" i="20"/>
  <c r="N43" i="20"/>
  <c r="N47" i="20"/>
  <c r="N51" i="20"/>
  <c r="N55" i="20"/>
  <c r="N59" i="20"/>
  <c r="I41" i="20"/>
  <c r="I45" i="20"/>
  <c r="I49" i="20"/>
  <c r="I53" i="20"/>
  <c r="I57" i="20"/>
  <c r="D39" i="20"/>
  <c r="D43" i="20"/>
  <c r="D47" i="20"/>
  <c r="D51" i="20"/>
  <c r="D55" i="20"/>
  <c r="D59" i="20"/>
  <c r="M39" i="20"/>
  <c r="M38" i="20"/>
  <c r="H39" i="20"/>
  <c r="H40" i="20"/>
  <c r="H41" i="20"/>
  <c r="H42" i="20"/>
  <c r="H43" i="20"/>
  <c r="H44" i="20"/>
  <c r="H45" i="20"/>
  <c r="H46" i="20"/>
  <c r="H47" i="20"/>
  <c r="H48" i="20"/>
  <c r="H49" i="20"/>
  <c r="H50" i="20"/>
  <c r="H51" i="20"/>
  <c r="H52" i="20"/>
  <c r="H53" i="20"/>
  <c r="H54" i="20"/>
  <c r="H55" i="20"/>
  <c r="H56" i="20"/>
  <c r="H57" i="20"/>
  <c r="H58" i="20"/>
  <c r="H59" i="20"/>
  <c r="H38" i="20"/>
  <c r="C39" i="20"/>
  <c r="C40" i="20"/>
  <c r="C41" i="20"/>
  <c r="C42" i="20"/>
  <c r="C43" i="20"/>
  <c r="C44" i="20"/>
  <c r="C45" i="20"/>
  <c r="C46" i="20"/>
  <c r="C47" i="20"/>
  <c r="C48" i="20"/>
  <c r="C49" i="20"/>
  <c r="C50" i="20"/>
  <c r="C51" i="20"/>
  <c r="C52" i="20"/>
  <c r="C53" i="20"/>
  <c r="C54" i="20"/>
  <c r="C55" i="20"/>
  <c r="C56" i="20"/>
  <c r="C57" i="20"/>
  <c r="C58" i="20"/>
  <c r="C59" i="20"/>
  <c r="C38" i="20"/>
  <c r="B38" i="20"/>
  <c r="D182" i="20"/>
  <c r="D181" i="20"/>
  <c r="D180" i="20"/>
  <c r="D179" i="20"/>
  <c r="D178" i="20"/>
  <c r="D177" i="20"/>
  <c r="D172" i="20"/>
  <c r="D171" i="20"/>
  <c r="D170" i="20"/>
  <c r="D169" i="20"/>
  <c r="D168" i="20"/>
  <c r="D167" i="20"/>
  <c r="D162" i="20"/>
  <c r="D161" i="20"/>
  <c r="D160" i="20"/>
  <c r="D159" i="20"/>
  <c r="D158" i="20"/>
  <c r="D157" i="20"/>
  <c r="D152" i="20"/>
  <c r="D151" i="20"/>
  <c r="D150" i="20"/>
  <c r="D149" i="20"/>
  <c r="D148" i="20"/>
  <c r="D147" i="20"/>
  <c r="S131" i="20"/>
  <c r="R131" i="20"/>
  <c r="Q131" i="20"/>
  <c r="S130" i="20"/>
  <c r="R130" i="20"/>
  <c r="Q130" i="20"/>
  <c r="S129" i="20"/>
  <c r="R129" i="20"/>
  <c r="Q129" i="20"/>
  <c r="Q121" i="20"/>
  <c r="N128" i="20" s="1"/>
  <c r="Q120" i="20"/>
  <c r="M128" i="20" s="1"/>
  <c r="Q119" i="20"/>
  <c r="L128" i="20" s="1"/>
  <c r="L97" i="20" a="1"/>
  <c r="L97" i="20" s="1"/>
  <c r="H128" i="20" s="1"/>
  <c r="L95" i="20" a="1"/>
  <c r="L95" i="20" s="1"/>
  <c r="G128" i="20" s="1"/>
  <c r="D89" i="20"/>
  <c r="F128" i="20" s="1"/>
  <c r="D13" i="20"/>
  <c r="D141" i="20" s="1"/>
  <c r="E107" i="19"/>
  <c r="T55" i="20" s="1"/>
  <c r="U55" i="20" s="1"/>
  <c r="E105" i="19"/>
  <c r="T53" i="20" s="1"/>
  <c r="U53" i="20" s="1"/>
  <c r="E103" i="19"/>
  <c r="T51" i="20" s="1"/>
  <c r="U51" i="20" s="1"/>
  <c r="E101" i="19"/>
  <c r="T49" i="20" s="1"/>
  <c r="U49" i="20" s="1"/>
  <c r="E99" i="19"/>
  <c r="T47" i="20" s="1"/>
  <c r="U47" i="20" s="1"/>
  <c r="E97" i="19"/>
  <c r="T45" i="20" s="1"/>
  <c r="U45" i="20" s="1"/>
  <c r="E95" i="19"/>
  <c r="T43" i="20" s="1"/>
  <c r="U43" i="20" s="1"/>
  <c r="E93" i="19"/>
  <c r="T41" i="20" s="1"/>
  <c r="U41" i="20" s="1"/>
  <c r="E91" i="19"/>
  <c r="T39" i="20" s="1"/>
  <c r="U39" i="20" s="1"/>
  <c r="E89" i="19"/>
  <c r="O59" i="20" s="1"/>
  <c r="P59" i="20" s="1"/>
  <c r="E87" i="19"/>
  <c r="O57" i="20" s="1"/>
  <c r="P57" i="20" s="1"/>
  <c r="E85" i="19"/>
  <c r="O55" i="20" s="1"/>
  <c r="P55" i="20" s="1"/>
  <c r="E83" i="19"/>
  <c r="O53" i="20" s="1"/>
  <c r="P53" i="20" s="1"/>
  <c r="E81" i="19"/>
  <c r="O51" i="20" s="1"/>
  <c r="P51" i="20" s="1"/>
  <c r="E79" i="19"/>
  <c r="O49" i="20" s="1"/>
  <c r="P49" i="20" s="1"/>
  <c r="E78" i="19"/>
  <c r="O48" i="20" s="1"/>
  <c r="P48" i="20" s="1"/>
  <c r="E77" i="19"/>
  <c r="O47" i="20" s="1"/>
  <c r="P47" i="20" s="1"/>
  <c r="E76" i="19"/>
  <c r="O46" i="20" s="1"/>
  <c r="P46" i="20" s="1"/>
  <c r="E75" i="19"/>
  <c r="O45" i="20" s="1"/>
  <c r="P45" i="20" s="1"/>
  <c r="E74" i="19"/>
  <c r="O44" i="20" s="1"/>
  <c r="P44" i="20" s="1"/>
  <c r="E73" i="19"/>
  <c r="O43" i="20" s="1"/>
  <c r="P43" i="20" s="1"/>
  <c r="E72" i="19"/>
  <c r="O42" i="20" s="1"/>
  <c r="P42" i="20" s="1"/>
  <c r="E71" i="19"/>
  <c r="O41" i="20" s="1"/>
  <c r="P41" i="20" s="1"/>
  <c r="E70" i="19"/>
  <c r="O40" i="20" s="1"/>
  <c r="P40" i="20" s="1"/>
  <c r="C70" i="19"/>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R56" i="20" s="1"/>
  <c r="Q104" i="20" s="1"/>
  <c r="E69" i="19"/>
  <c r="O39" i="20" s="1"/>
  <c r="P39" i="20" s="1"/>
  <c r="E67" i="19"/>
  <c r="J59" i="20" s="1"/>
  <c r="K59" i="20" s="1"/>
  <c r="E65" i="19"/>
  <c r="J57" i="20" s="1"/>
  <c r="K57" i="20" s="1"/>
  <c r="E63" i="19"/>
  <c r="J55" i="20" s="1"/>
  <c r="K55" i="20" s="1"/>
  <c r="E61" i="19"/>
  <c r="J53" i="20" s="1"/>
  <c r="K53" i="20" s="1"/>
  <c r="E59" i="19"/>
  <c r="J51" i="20" s="1"/>
  <c r="K51" i="20" s="1"/>
  <c r="E57" i="19"/>
  <c r="J49" i="20" s="1"/>
  <c r="K49" i="20" s="1"/>
  <c r="E55" i="19"/>
  <c r="J47" i="20" s="1"/>
  <c r="K47" i="20" s="1"/>
  <c r="E53" i="19"/>
  <c r="J45" i="20" s="1"/>
  <c r="K45" i="20" s="1"/>
  <c r="E51" i="19"/>
  <c r="J43" i="20" s="1"/>
  <c r="K43" i="20" s="1"/>
  <c r="E49" i="19"/>
  <c r="J41" i="20" s="1"/>
  <c r="K41" i="20" s="1"/>
  <c r="E47" i="19"/>
  <c r="J39" i="20" s="1"/>
  <c r="K39" i="20" s="1"/>
  <c r="E45" i="19"/>
  <c r="E59" i="20" s="1"/>
  <c r="F59" i="20" s="1"/>
  <c r="E43" i="19"/>
  <c r="E57" i="20" s="1"/>
  <c r="F57" i="20" s="1"/>
  <c r="E41" i="19"/>
  <c r="E55" i="20" s="1"/>
  <c r="F55" i="20" s="1"/>
  <c r="E39" i="19"/>
  <c r="E53" i="20" s="1"/>
  <c r="F53" i="20" s="1"/>
  <c r="E37" i="19"/>
  <c r="E51" i="20" s="1"/>
  <c r="F51" i="20" s="1"/>
  <c r="E35" i="19"/>
  <c r="E49" i="20" s="1"/>
  <c r="F49" i="20" s="1"/>
  <c r="E33" i="19"/>
  <c r="E47" i="20" s="1"/>
  <c r="F47" i="20" s="1"/>
  <c r="E31" i="19"/>
  <c r="E45" i="20" s="1"/>
  <c r="F45" i="20" s="1"/>
  <c r="E29" i="19"/>
  <c r="E43" i="20" s="1"/>
  <c r="F43" i="20" s="1"/>
  <c r="E27" i="19"/>
  <c r="E41" i="20" s="1"/>
  <c r="F41" i="20" s="1"/>
  <c r="E25" i="19"/>
  <c r="E39" i="20" s="1"/>
  <c r="F39" i="20" s="1"/>
  <c r="B25" i="19"/>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Q56" i="20" s="1"/>
  <c r="D296" i="17"/>
  <c r="O300" i="17"/>
  <c r="L300" i="17"/>
  <c r="I300" i="17"/>
  <c r="F300" i="17"/>
  <c r="D215" i="17"/>
  <c r="D213" i="17"/>
  <c r="O219" i="17"/>
  <c r="L219" i="17"/>
  <c r="I219" i="17"/>
  <c r="F219" i="17"/>
  <c r="O163" i="17"/>
  <c r="L163" i="17"/>
  <c r="I163" i="17"/>
  <c r="F163" i="17"/>
  <c r="D158" i="17"/>
  <c r="D156" i="17"/>
  <c r="D150" i="17" s="1"/>
  <c r="O150" i="17" s="1"/>
  <c r="L221" i="17" l="1"/>
  <c r="B56" i="20"/>
  <c r="B52" i="20"/>
  <c r="B48" i="20"/>
  <c r="B44" i="20"/>
  <c r="B40" i="20"/>
  <c r="G59" i="20"/>
  <c r="G55" i="20"/>
  <c r="G51" i="20"/>
  <c r="G47" i="20"/>
  <c r="G43" i="20"/>
  <c r="G39" i="20"/>
  <c r="L56" i="20"/>
  <c r="L52" i="20"/>
  <c r="L48" i="20"/>
  <c r="L44" i="20"/>
  <c r="L40" i="20"/>
  <c r="Q55" i="20"/>
  <c r="Q51" i="20"/>
  <c r="Q47" i="20"/>
  <c r="Q43" i="20"/>
  <c r="Q39" i="20"/>
  <c r="M57" i="20"/>
  <c r="M53" i="20"/>
  <c r="M49" i="20"/>
  <c r="M45" i="20"/>
  <c r="M41" i="20"/>
  <c r="R52" i="20"/>
  <c r="R48" i="20"/>
  <c r="R44" i="20"/>
  <c r="R40" i="20"/>
  <c r="B59" i="20"/>
  <c r="B55" i="20"/>
  <c r="B51" i="20"/>
  <c r="B47" i="20"/>
  <c r="B43" i="20"/>
  <c r="B39" i="20"/>
  <c r="G58" i="20"/>
  <c r="G54" i="20"/>
  <c r="G50" i="20"/>
  <c r="G46" i="20"/>
  <c r="G42" i="20"/>
  <c r="L59" i="20"/>
  <c r="L55" i="20"/>
  <c r="L51" i="20"/>
  <c r="L47" i="20"/>
  <c r="L43" i="20"/>
  <c r="L39" i="20"/>
  <c r="Q54" i="20"/>
  <c r="Q50" i="20"/>
  <c r="Q46" i="20"/>
  <c r="Q42" i="20"/>
  <c r="M56" i="20"/>
  <c r="M52" i="20"/>
  <c r="M48" i="20"/>
  <c r="M44" i="20"/>
  <c r="M40" i="20"/>
  <c r="R55" i="20"/>
  <c r="R51" i="20"/>
  <c r="R47" i="20"/>
  <c r="R43" i="20"/>
  <c r="R39" i="20"/>
  <c r="B58" i="20"/>
  <c r="B54" i="20"/>
  <c r="B50" i="20"/>
  <c r="B46" i="20"/>
  <c r="B42" i="20"/>
  <c r="G38" i="20"/>
  <c r="G57" i="20"/>
  <c r="G53" i="20"/>
  <c r="G49" i="20"/>
  <c r="G45" i="20"/>
  <c r="G41" i="20"/>
  <c r="L58" i="20"/>
  <c r="L54" i="20"/>
  <c r="L50" i="20"/>
  <c r="L46" i="20"/>
  <c r="L42" i="20"/>
  <c r="Q38" i="20"/>
  <c r="Q53" i="20"/>
  <c r="Q49" i="20"/>
  <c r="Q45" i="20"/>
  <c r="Q41" i="20"/>
  <c r="M59" i="20"/>
  <c r="M55" i="20"/>
  <c r="M51" i="20"/>
  <c r="M47" i="20"/>
  <c r="M43" i="20"/>
  <c r="R54" i="20"/>
  <c r="R50" i="20"/>
  <c r="R46" i="20"/>
  <c r="R42" i="20"/>
  <c r="B57" i="20"/>
  <c r="B53" i="20"/>
  <c r="B49" i="20"/>
  <c r="B45" i="20"/>
  <c r="B41" i="20"/>
  <c r="L38" i="20"/>
  <c r="G56" i="20"/>
  <c r="G52" i="20"/>
  <c r="G48" i="20"/>
  <c r="G44" i="20"/>
  <c r="G40" i="20"/>
  <c r="L57" i="20"/>
  <c r="L53" i="20"/>
  <c r="L49" i="20"/>
  <c r="L45" i="20"/>
  <c r="L41" i="20"/>
  <c r="Q52" i="20"/>
  <c r="Q48" i="20"/>
  <c r="Q44" i="20"/>
  <c r="Q40" i="20"/>
  <c r="M58" i="20"/>
  <c r="M54" i="20"/>
  <c r="M50" i="20"/>
  <c r="M46" i="20"/>
  <c r="M42" i="20"/>
  <c r="R38" i="20"/>
  <c r="R53" i="20"/>
  <c r="R49" i="20"/>
  <c r="R45" i="20"/>
  <c r="R41" i="20"/>
  <c r="F13" i="20"/>
  <c r="D15" i="20" s="1"/>
  <c r="L302" i="17"/>
  <c r="L303" i="17" s="1"/>
  <c r="S42" i="20"/>
  <c r="N58" i="20"/>
  <c r="N50" i="20"/>
  <c r="E84" i="19"/>
  <c r="O54" i="20" s="1"/>
  <c r="P54" i="20" s="1"/>
  <c r="E86" i="19"/>
  <c r="O56" i="20" s="1"/>
  <c r="P56" i="20" s="1"/>
  <c r="E92" i="19"/>
  <c r="T40" i="20" s="1"/>
  <c r="U40" i="20" s="1"/>
  <c r="E96" i="19"/>
  <c r="T44" i="20" s="1"/>
  <c r="U44" i="20" s="1"/>
  <c r="E100" i="19"/>
  <c r="T48" i="20" s="1"/>
  <c r="U48" i="20" s="1"/>
  <c r="E104" i="19"/>
  <c r="T52" i="20" s="1"/>
  <c r="U52" i="20" s="1"/>
  <c r="E108" i="19"/>
  <c r="T56" i="20" s="1"/>
  <c r="U56" i="20" s="1"/>
  <c r="E26" i="19"/>
  <c r="E40" i="20" s="1"/>
  <c r="F40" i="20" s="1"/>
  <c r="E28" i="19"/>
  <c r="E42" i="20" s="1"/>
  <c r="F42" i="20" s="1"/>
  <c r="E30" i="19"/>
  <c r="E44" i="20" s="1"/>
  <c r="F44" i="20" s="1"/>
  <c r="E32" i="19"/>
  <c r="E46" i="20" s="1"/>
  <c r="F46" i="20" s="1"/>
  <c r="E34" i="19"/>
  <c r="E48" i="20" s="1"/>
  <c r="F48" i="20" s="1"/>
  <c r="E36" i="19"/>
  <c r="E50" i="20" s="1"/>
  <c r="F50" i="20" s="1"/>
  <c r="E38" i="19"/>
  <c r="E52" i="20" s="1"/>
  <c r="F52" i="20" s="1"/>
  <c r="E40" i="19"/>
  <c r="E54" i="20" s="1"/>
  <c r="F54" i="20" s="1"/>
  <c r="E42" i="19"/>
  <c r="E56" i="20" s="1"/>
  <c r="F56" i="20" s="1"/>
  <c r="E44" i="19"/>
  <c r="E58" i="20" s="1"/>
  <c r="F58" i="20" s="1"/>
  <c r="E46" i="19"/>
  <c r="J38" i="20" s="1"/>
  <c r="K38" i="20" s="1"/>
  <c r="E48" i="19"/>
  <c r="J40" i="20" s="1"/>
  <c r="K40" i="20" s="1"/>
  <c r="E50" i="19"/>
  <c r="J42" i="20" s="1"/>
  <c r="K42" i="20" s="1"/>
  <c r="E52" i="19"/>
  <c r="J44" i="20" s="1"/>
  <c r="K44" i="20" s="1"/>
  <c r="E54" i="19"/>
  <c r="J46" i="20" s="1"/>
  <c r="K46" i="20" s="1"/>
  <c r="E56" i="19"/>
  <c r="J48" i="20" s="1"/>
  <c r="K48" i="20" s="1"/>
  <c r="E58" i="19"/>
  <c r="J50" i="20" s="1"/>
  <c r="K50" i="20" s="1"/>
  <c r="E60" i="19"/>
  <c r="J52" i="20" s="1"/>
  <c r="K52" i="20" s="1"/>
  <c r="E62" i="19"/>
  <c r="J54" i="20" s="1"/>
  <c r="K54" i="20" s="1"/>
  <c r="E64" i="19"/>
  <c r="J56" i="20" s="1"/>
  <c r="K56" i="20" s="1"/>
  <c r="E66" i="19"/>
  <c r="J58" i="20" s="1"/>
  <c r="K58" i="20" s="1"/>
  <c r="E68" i="19"/>
  <c r="O38" i="20" s="1"/>
  <c r="P38" i="20" s="1"/>
  <c r="E24" i="19"/>
  <c r="E38" i="20" s="1"/>
  <c r="F38" i="20" s="1"/>
  <c r="L152" i="20"/>
  <c r="L147" i="20" s="1"/>
  <c r="L130" i="20"/>
  <c r="L129" i="20"/>
  <c r="L162" i="20" s="1"/>
  <c r="L160" i="20" s="1"/>
  <c r="F152" i="20"/>
  <c r="F147" i="20" s="1"/>
  <c r="F130" i="20"/>
  <c r="F129" i="20"/>
  <c r="F162" i="20" s="1"/>
  <c r="F158" i="20" s="1"/>
  <c r="H152" i="20"/>
  <c r="H149" i="20" s="1"/>
  <c r="H130" i="20"/>
  <c r="H129" i="20"/>
  <c r="H162" i="20" s="1"/>
  <c r="H156" i="20" s="1"/>
  <c r="M129" i="20"/>
  <c r="M162" i="20" s="1"/>
  <c r="M158" i="20" s="1"/>
  <c r="M152" i="20"/>
  <c r="M149" i="20" s="1"/>
  <c r="M130" i="20"/>
  <c r="G129" i="20"/>
  <c r="G162" i="20" s="1"/>
  <c r="G160" i="20" s="1"/>
  <c r="G152" i="20"/>
  <c r="G151" i="20" s="1"/>
  <c r="G130" i="20"/>
  <c r="N152" i="20"/>
  <c r="N149" i="20" s="1"/>
  <c r="N130" i="20"/>
  <c r="N129" i="20"/>
  <c r="N162" i="20" s="1"/>
  <c r="N156" i="20" s="1"/>
  <c r="I124" i="20"/>
  <c r="L149" i="20"/>
  <c r="F151" i="20"/>
  <c r="F156" i="20"/>
  <c r="M157" i="20"/>
  <c r="F148" i="20"/>
  <c r="F150" i="20"/>
  <c r="L150" i="20"/>
  <c r="H157" i="20"/>
  <c r="F159" i="20"/>
  <c r="F161" i="20"/>
  <c r="H161" i="20"/>
  <c r="L222" i="17"/>
  <c r="I302" i="17"/>
  <c r="I303" i="17" s="1"/>
  <c r="O302" i="17"/>
  <c r="O303" i="17" s="1"/>
  <c r="F302" i="17"/>
  <c r="F303" i="17" s="1"/>
  <c r="O165" i="17"/>
  <c r="O166" i="17" s="1"/>
  <c r="I221" i="17"/>
  <c r="I222" i="17" s="1"/>
  <c r="O221" i="17"/>
  <c r="O222" i="17" s="1"/>
  <c r="F221" i="17"/>
  <c r="F222" i="17" s="1"/>
  <c r="L165" i="17"/>
  <c r="L166" i="17" s="1"/>
  <c r="F165" i="17"/>
  <c r="F166" i="17" s="1"/>
  <c r="I165" i="17"/>
  <c r="I166" i="17" s="1"/>
  <c r="F157" i="20" l="1"/>
  <c r="F160" i="20"/>
  <c r="H148" i="20"/>
  <c r="L156" i="20"/>
  <c r="M150" i="20"/>
  <c r="L159" i="20"/>
  <c r="L158" i="20"/>
  <c r="H151" i="20"/>
  <c r="H147" i="20"/>
  <c r="M161" i="20"/>
  <c r="M159" i="20"/>
  <c r="F149" i="20"/>
  <c r="N159" i="20"/>
  <c r="G148" i="20"/>
  <c r="H160" i="20"/>
  <c r="G159" i="20"/>
  <c r="N150" i="20"/>
  <c r="N158" i="20"/>
  <c r="N147" i="20"/>
  <c r="L161" i="20"/>
  <c r="H159" i="20"/>
  <c r="L157" i="20"/>
  <c r="H150" i="20"/>
  <c r="L148" i="20"/>
  <c r="H158" i="20"/>
  <c r="L151" i="20"/>
  <c r="G150" i="20"/>
  <c r="M148" i="20"/>
  <c r="N161" i="20"/>
  <c r="N157" i="20"/>
  <c r="N148" i="20"/>
  <c r="N151" i="20"/>
  <c r="M147" i="20"/>
  <c r="M151" i="20"/>
  <c r="G149" i="20"/>
  <c r="N62" i="20"/>
  <c r="G65" i="20" s="1"/>
  <c r="N104" i="20"/>
  <c r="G107" i="20" s="1"/>
  <c r="I128" i="20" s="1"/>
  <c r="I152" i="20" s="1"/>
  <c r="F172" i="20"/>
  <c r="F131" i="20"/>
  <c r="F182" i="20" s="1"/>
  <c r="G161" i="20"/>
  <c r="G157" i="20"/>
  <c r="N160" i="20"/>
  <c r="G147" i="20"/>
  <c r="M156" i="20"/>
  <c r="G158" i="20"/>
  <c r="M160" i="20"/>
  <c r="N172" i="20"/>
  <c r="N131" i="20"/>
  <c r="N182" i="20" s="1"/>
  <c r="G131" i="20"/>
  <c r="G182" i="20" s="1"/>
  <c r="G172" i="20"/>
  <c r="M131" i="20"/>
  <c r="M182" i="20" s="1"/>
  <c r="M172" i="20"/>
  <c r="H172" i="20"/>
  <c r="H131" i="20"/>
  <c r="H182" i="20" s="1"/>
  <c r="L172" i="20"/>
  <c r="L131" i="20"/>
  <c r="L182" i="20" s="1"/>
  <c r="G156" i="20"/>
  <c r="I80" i="20" l="1"/>
  <c r="E128" i="20"/>
  <c r="F113" i="20"/>
  <c r="J113" i="20" s="1"/>
  <c r="K128" i="20" s="1"/>
  <c r="I129" i="20"/>
  <c r="I162" i="20" s="1"/>
  <c r="I130" i="20"/>
  <c r="L169" i="20"/>
  <c r="L166" i="20"/>
  <c r="L167" i="20"/>
  <c r="L171" i="20"/>
  <c r="L168" i="20"/>
  <c r="L170" i="20"/>
  <c r="H169" i="20"/>
  <c r="H170" i="20"/>
  <c r="H167" i="20"/>
  <c r="H171" i="20"/>
  <c r="H166" i="20"/>
  <c r="H168" i="20"/>
  <c r="M178" i="20"/>
  <c r="M177" i="20"/>
  <c r="M181" i="20"/>
  <c r="M180" i="20"/>
  <c r="M176" i="20"/>
  <c r="M179" i="20"/>
  <c r="I151" i="20"/>
  <c r="I147" i="20"/>
  <c r="I148" i="20"/>
  <c r="I149" i="20"/>
  <c r="I150" i="20"/>
  <c r="G169" i="20"/>
  <c r="G166" i="20"/>
  <c r="G170" i="20"/>
  <c r="G171" i="20"/>
  <c r="G167" i="20"/>
  <c r="G168" i="20"/>
  <c r="N178" i="20"/>
  <c r="N179" i="20"/>
  <c r="N176" i="20"/>
  <c r="N180" i="20"/>
  <c r="N177" i="20"/>
  <c r="N181" i="20"/>
  <c r="F167" i="20"/>
  <c r="F171" i="20"/>
  <c r="F169" i="20"/>
  <c r="F166" i="20"/>
  <c r="F168" i="20"/>
  <c r="F170" i="20"/>
  <c r="I82" i="20"/>
  <c r="I81" i="20"/>
  <c r="K81" i="20" s="1"/>
  <c r="K80" i="20"/>
  <c r="E129" i="20"/>
  <c r="E162" i="20" s="1"/>
  <c r="E152" i="20"/>
  <c r="O141" i="20" s="1"/>
  <c r="E130" i="20"/>
  <c r="L178" i="20"/>
  <c r="L177" i="20"/>
  <c r="L176" i="20"/>
  <c r="L180" i="20"/>
  <c r="L179" i="20"/>
  <c r="L181" i="20"/>
  <c r="H178" i="20"/>
  <c r="H181" i="20"/>
  <c r="E25" i="5" s="1"/>
  <c r="G25" i="5" s="1"/>
  <c r="H25" i="5" s="1"/>
  <c r="H176" i="20"/>
  <c r="H180" i="20"/>
  <c r="E24" i="5" s="1"/>
  <c r="G24" i="5" s="1"/>
  <c r="H24" i="5" s="1"/>
  <c r="H177" i="20"/>
  <c r="H179" i="20"/>
  <c r="E23" i="5" s="1"/>
  <c r="G23" i="5" s="1"/>
  <c r="H23" i="5" s="1"/>
  <c r="M171" i="20"/>
  <c r="M167" i="20"/>
  <c r="M168" i="20"/>
  <c r="M169" i="20"/>
  <c r="M166" i="20"/>
  <c r="M170" i="20"/>
  <c r="I131" i="20"/>
  <c r="I182" i="20" s="1"/>
  <c r="I172" i="20"/>
  <c r="I158" i="20"/>
  <c r="I157" i="20"/>
  <c r="I161" i="20"/>
  <c r="I160" i="20"/>
  <c r="I156" i="20"/>
  <c r="I159" i="20"/>
  <c r="G180" i="20"/>
  <c r="G176" i="20"/>
  <c r="G179" i="20"/>
  <c r="G178" i="20"/>
  <c r="G177" i="20"/>
  <c r="G181" i="20"/>
  <c r="N167" i="20"/>
  <c r="N171" i="20"/>
  <c r="N166" i="20"/>
  <c r="N170" i="20"/>
  <c r="N169" i="20"/>
  <c r="N168" i="20"/>
  <c r="F176" i="20"/>
  <c r="F180" i="20"/>
  <c r="F178" i="20"/>
  <c r="F177" i="20"/>
  <c r="F179" i="20"/>
  <c r="F181" i="20"/>
  <c r="C53" i="17"/>
  <c r="C52" i="17"/>
  <c r="C51" i="17"/>
  <c r="C20" i="17"/>
  <c r="C19" i="17"/>
  <c r="C18" i="17"/>
  <c r="C115" i="17" s="1"/>
  <c r="D150" i="4"/>
  <c r="D151" i="4"/>
  <c r="D152" i="4"/>
  <c r="D153" i="4"/>
  <c r="D154" i="4"/>
  <c r="D155" i="4"/>
  <c r="D149" i="4"/>
  <c r="Q123" i="4"/>
  <c r="R123" i="4"/>
  <c r="S123" i="4"/>
  <c r="Q124" i="4"/>
  <c r="R124" i="4"/>
  <c r="S124" i="4"/>
  <c r="R122" i="4"/>
  <c r="S122" i="4"/>
  <c r="Q122" i="4"/>
  <c r="D157" i="10"/>
  <c r="D158" i="10"/>
  <c r="D159" i="10"/>
  <c r="D160" i="10"/>
  <c r="D161" i="10"/>
  <c r="D162" i="10"/>
  <c r="D156" i="10"/>
  <c r="S131" i="10"/>
  <c r="R131" i="10"/>
  <c r="Q131" i="10"/>
  <c r="S130" i="10"/>
  <c r="R130" i="10"/>
  <c r="Q130" i="10"/>
  <c r="S129" i="10"/>
  <c r="R129" i="10"/>
  <c r="Q129" i="10"/>
  <c r="K22" i="2"/>
  <c r="J22" i="2"/>
  <c r="I22" i="2"/>
  <c r="B22" i="2"/>
  <c r="D11" i="16"/>
  <c r="E10" i="16"/>
  <c r="K21" i="2"/>
  <c r="J21" i="2"/>
  <c r="I21" i="2"/>
  <c r="B21" i="2"/>
  <c r="K20" i="2"/>
  <c r="J20" i="2"/>
  <c r="I20" i="2"/>
  <c r="G20" i="2"/>
  <c r="G21" i="2" s="1"/>
  <c r="F20" i="2"/>
  <c r="F21" i="2" s="1"/>
  <c r="C20" i="2"/>
  <c r="C21" i="2" s="1"/>
  <c r="B20" i="2"/>
  <c r="K19" i="2"/>
  <c r="J19" i="2"/>
  <c r="I19" i="2"/>
  <c r="I18" i="2"/>
  <c r="G19" i="2"/>
  <c r="F19" i="2"/>
  <c r="E19" i="2"/>
  <c r="D19" i="2"/>
  <c r="C19" i="2"/>
  <c r="B19" i="2"/>
  <c r="D158" i="14"/>
  <c r="D157" i="14"/>
  <c r="D156" i="14"/>
  <c r="D155" i="14"/>
  <c r="D154" i="14"/>
  <c r="D153" i="14"/>
  <c r="D152" i="14"/>
  <c r="S127" i="14"/>
  <c r="R127" i="14"/>
  <c r="Q127" i="14"/>
  <c r="S126" i="14"/>
  <c r="R126" i="14"/>
  <c r="Q126" i="14"/>
  <c r="S125" i="14"/>
  <c r="R125" i="14"/>
  <c r="Q125" i="14"/>
  <c r="I79" i="14"/>
  <c r="D158" i="12"/>
  <c r="D157" i="12"/>
  <c r="D156" i="12"/>
  <c r="D155" i="12"/>
  <c r="D154" i="12"/>
  <c r="D153" i="12"/>
  <c r="D152" i="12"/>
  <c r="S127" i="12"/>
  <c r="R127" i="12"/>
  <c r="Q127" i="12"/>
  <c r="S126" i="12"/>
  <c r="R126" i="12"/>
  <c r="Q126" i="12"/>
  <c r="S125" i="12"/>
  <c r="R125" i="12"/>
  <c r="Q125" i="12"/>
  <c r="I79" i="12"/>
  <c r="D158" i="16"/>
  <c r="D157" i="16"/>
  <c r="D156" i="16"/>
  <c r="D155" i="16"/>
  <c r="D154" i="16"/>
  <c r="D153" i="16"/>
  <c r="D152" i="16"/>
  <c r="S126" i="16"/>
  <c r="S127" i="16"/>
  <c r="R126" i="16"/>
  <c r="R127" i="16"/>
  <c r="Q126" i="16"/>
  <c r="Q127" i="16"/>
  <c r="R125" i="16"/>
  <c r="S125" i="16"/>
  <c r="Q125" i="16"/>
  <c r="Q117" i="16"/>
  <c r="N126" i="16" s="1"/>
  <c r="Q116" i="16"/>
  <c r="M126" i="16" s="1"/>
  <c r="Q115" i="16"/>
  <c r="L126" i="16" s="1"/>
  <c r="L124" i="16" s="1"/>
  <c r="L125" i="16" s="1"/>
  <c r="L158" i="16" s="1"/>
  <c r="L93" i="16" a="1"/>
  <c r="L93" i="16" s="1"/>
  <c r="H126" i="16" s="1"/>
  <c r="L91" i="16" a="1"/>
  <c r="L91" i="16" s="1"/>
  <c r="G126" i="16" s="1"/>
  <c r="D85" i="16"/>
  <c r="F126" i="16" s="1"/>
  <c r="T42" i="16"/>
  <c r="U42" i="16" s="1"/>
  <c r="O40" i="16"/>
  <c r="P40" i="16" s="1"/>
  <c r="O48" i="16"/>
  <c r="P48" i="16" s="1"/>
  <c r="S39" i="16"/>
  <c r="S40" i="16"/>
  <c r="S41" i="16"/>
  <c r="S42" i="16"/>
  <c r="S43" i="16"/>
  <c r="S44" i="16"/>
  <c r="S45" i="16"/>
  <c r="S46" i="16"/>
  <c r="S47" i="16"/>
  <c r="S48" i="16"/>
  <c r="S49" i="16"/>
  <c r="S50" i="16"/>
  <c r="S51" i="16"/>
  <c r="S52" i="16"/>
  <c r="S53" i="16"/>
  <c r="S54" i="16"/>
  <c r="S38" i="16"/>
  <c r="N39" i="16"/>
  <c r="N40" i="16"/>
  <c r="N41" i="16"/>
  <c r="N42" i="16"/>
  <c r="N43" i="16"/>
  <c r="N44" i="16"/>
  <c r="N45" i="16"/>
  <c r="N46" i="16"/>
  <c r="N47" i="16"/>
  <c r="N48" i="16"/>
  <c r="N49" i="16"/>
  <c r="N50" i="16"/>
  <c r="N51" i="16"/>
  <c r="N52" i="16"/>
  <c r="N53" i="16"/>
  <c r="N54" i="16"/>
  <c r="N55" i="16"/>
  <c r="N38" i="16"/>
  <c r="I39" i="16"/>
  <c r="I40" i="16"/>
  <c r="I41" i="16"/>
  <c r="I42" i="16"/>
  <c r="I43" i="16"/>
  <c r="I44" i="16"/>
  <c r="I45" i="16"/>
  <c r="I46" i="16"/>
  <c r="I47" i="16"/>
  <c r="I48" i="16"/>
  <c r="I49" i="16"/>
  <c r="I50" i="16"/>
  <c r="I51" i="16"/>
  <c r="I52" i="16"/>
  <c r="I53" i="16"/>
  <c r="I54" i="16"/>
  <c r="I55" i="16"/>
  <c r="I38" i="16"/>
  <c r="D39" i="16"/>
  <c r="D40" i="16"/>
  <c r="D41" i="16"/>
  <c r="D42" i="16"/>
  <c r="D43" i="16"/>
  <c r="D44" i="16"/>
  <c r="D45" i="16"/>
  <c r="D46" i="16"/>
  <c r="D47" i="16"/>
  <c r="D48" i="16"/>
  <c r="D49" i="16"/>
  <c r="D50" i="16"/>
  <c r="D51" i="16"/>
  <c r="D52" i="16"/>
  <c r="D53" i="16"/>
  <c r="D54" i="16"/>
  <c r="D55" i="16"/>
  <c r="D38" i="16"/>
  <c r="D178" i="16"/>
  <c r="D177" i="16"/>
  <c r="D176" i="16"/>
  <c r="D175" i="16"/>
  <c r="D174" i="16"/>
  <c r="D173" i="16"/>
  <c r="D172" i="16"/>
  <c r="D168" i="16"/>
  <c r="D167" i="16"/>
  <c r="D166" i="16"/>
  <c r="D165" i="16"/>
  <c r="D164" i="16"/>
  <c r="D163" i="16"/>
  <c r="D162" i="16"/>
  <c r="D148" i="16"/>
  <c r="D147" i="16"/>
  <c r="D146" i="16"/>
  <c r="D145" i="16"/>
  <c r="D144" i="16"/>
  <c r="D143" i="16"/>
  <c r="D142" i="16"/>
  <c r="M55" i="16"/>
  <c r="H55" i="16"/>
  <c r="C55" i="16"/>
  <c r="R54" i="16"/>
  <c r="M54" i="16"/>
  <c r="H54" i="16"/>
  <c r="C54" i="16"/>
  <c r="R53" i="16"/>
  <c r="M53" i="16"/>
  <c r="H53" i="16"/>
  <c r="C53" i="16"/>
  <c r="R52" i="16"/>
  <c r="M52" i="16"/>
  <c r="H52" i="16"/>
  <c r="C52" i="16"/>
  <c r="R51" i="16"/>
  <c r="M51" i="16"/>
  <c r="H51" i="16"/>
  <c r="C51" i="16"/>
  <c r="R50" i="16"/>
  <c r="M50" i="16"/>
  <c r="H50" i="16"/>
  <c r="C50" i="16"/>
  <c r="R49" i="16"/>
  <c r="M49" i="16"/>
  <c r="H49" i="16"/>
  <c r="C49" i="16"/>
  <c r="R48" i="16"/>
  <c r="M48" i="16"/>
  <c r="H48" i="16"/>
  <c r="C48" i="16"/>
  <c r="R47" i="16"/>
  <c r="M47" i="16"/>
  <c r="H47" i="16"/>
  <c r="C47" i="16"/>
  <c r="R46" i="16"/>
  <c r="M46" i="16"/>
  <c r="H46" i="16"/>
  <c r="C46" i="16"/>
  <c r="R45" i="16"/>
  <c r="M45" i="16"/>
  <c r="H45" i="16"/>
  <c r="C45" i="16"/>
  <c r="R44" i="16"/>
  <c r="M44" i="16"/>
  <c r="H44" i="16"/>
  <c r="C44" i="16"/>
  <c r="R43" i="16"/>
  <c r="M43" i="16"/>
  <c r="H43" i="16"/>
  <c r="C43" i="16"/>
  <c r="R42" i="16"/>
  <c r="M42" i="16"/>
  <c r="H42" i="16"/>
  <c r="C42" i="16"/>
  <c r="R41" i="16"/>
  <c r="M41" i="16"/>
  <c r="H41" i="16"/>
  <c r="C41" i="16"/>
  <c r="R40" i="16"/>
  <c r="M40" i="16"/>
  <c r="H40" i="16"/>
  <c r="C40" i="16"/>
  <c r="R39" i="16"/>
  <c r="Q39" i="16"/>
  <c r="Q40" i="16" s="1"/>
  <c r="Q41" i="16" s="1"/>
  <c r="Q42" i="16" s="1"/>
  <c r="Q43" i="16" s="1"/>
  <c r="Q44" i="16" s="1"/>
  <c r="Q45" i="16" s="1"/>
  <c r="Q46" i="16" s="1"/>
  <c r="Q47" i="16" s="1"/>
  <c r="Q48" i="16" s="1"/>
  <c r="Q49" i="16" s="1"/>
  <c r="Q50" i="16" s="1"/>
  <c r="Q51" i="16" s="1"/>
  <c r="Q52" i="16" s="1"/>
  <c r="Q53" i="16" s="1"/>
  <c r="Q54" i="16" s="1"/>
  <c r="M39" i="16"/>
  <c r="L39" i="16"/>
  <c r="L40" i="16" s="1"/>
  <c r="L41" i="16" s="1"/>
  <c r="L42" i="16" s="1"/>
  <c r="L43" i="16" s="1"/>
  <c r="L44" i="16" s="1"/>
  <c r="L45" i="16" s="1"/>
  <c r="L46" i="16" s="1"/>
  <c r="L47" i="16" s="1"/>
  <c r="L48" i="16" s="1"/>
  <c r="L49" i="16" s="1"/>
  <c r="L50" i="16" s="1"/>
  <c r="L51" i="16" s="1"/>
  <c r="L52" i="16" s="1"/>
  <c r="L53" i="16" s="1"/>
  <c r="L54" i="16" s="1"/>
  <c r="L55" i="16" s="1"/>
  <c r="H39" i="16"/>
  <c r="G39" i="16"/>
  <c r="G40" i="16" s="1"/>
  <c r="G41" i="16" s="1"/>
  <c r="G42" i="16" s="1"/>
  <c r="G43" i="16" s="1"/>
  <c r="G44" i="16" s="1"/>
  <c r="G45" i="16" s="1"/>
  <c r="G46" i="16" s="1"/>
  <c r="G47" i="16" s="1"/>
  <c r="G48" i="16" s="1"/>
  <c r="G49" i="16" s="1"/>
  <c r="G50" i="16" s="1"/>
  <c r="G51" i="16" s="1"/>
  <c r="G52" i="16" s="1"/>
  <c r="G53" i="16" s="1"/>
  <c r="G54" i="16" s="1"/>
  <c r="G55" i="16" s="1"/>
  <c r="C39" i="16"/>
  <c r="R38" i="16"/>
  <c r="M38" i="16"/>
  <c r="H38" i="16"/>
  <c r="C38" i="16"/>
  <c r="B38" i="16"/>
  <c r="D14" i="16"/>
  <c r="D13" i="16"/>
  <c r="D137" i="16" s="1"/>
  <c r="E94" i="15"/>
  <c r="T54" i="16" s="1"/>
  <c r="U54" i="16" s="1"/>
  <c r="E93" i="15"/>
  <c r="T53" i="16" s="1"/>
  <c r="U53" i="16" s="1"/>
  <c r="E92" i="15"/>
  <c r="T52" i="16" s="1"/>
  <c r="U52" i="16" s="1"/>
  <c r="E91" i="15"/>
  <c r="T51" i="16" s="1"/>
  <c r="U51" i="16" s="1"/>
  <c r="E90" i="15"/>
  <c r="T50" i="16" s="1"/>
  <c r="U50" i="16" s="1"/>
  <c r="E89" i="15"/>
  <c r="T49" i="16" s="1"/>
  <c r="U49" i="16" s="1"/>
  <c r="E88" i="15"/>
  <c r="T48" i="16" s="1"/>
  <c r="U48" i="16" s="1"/>
  <c r="E87" i="15"/>
  <c r="T47" i="16" s="1"/>
  <c r="U47" i="16" s="1"/>
  <c r="E86" i="15"/>
  <c r="T46" i="16" s="1"/>
  <c r="U46" i="16" s="1"/>
  <c r="E85" i="15"/>
  <c r="T45" i="16" s="1"/>
  <c r="U45" i="16" s="1"/>
  <c r="E84" i="15"/>
  <c r="T44" i="16" s="1"/>
  <c r="U44" i="16" s="1"/>
  <c r="E83" i="15"/>
  <c r="T43" i="16" s="1"/>
  <c r="U43" i="16" s="1"/>
  <c r="E82" i="15"/>
  <c r="E81" i="15"/>
  <c r="T41" i="16" s="1"/>
  <c r="U41" i="16" s="1"/>
  <c r="E80" i="15"/>
  <c r="T40" i="16" s="1"/>
  <c r="U40" i="16" s="1"/>
  <c r="E79" i="15"/>
  <c r="T39" i="16" s="1"/>
  <c r="U39" i="16" s="1"/>
  <c r="E78" i="15"/>
  <c r="T38" i="16" s="1"/>
  <c r="U38" i="16" s="1"/>
  <c r="E77" i="15"/>
  <c r="O55" i="16" s="1"/>
  <c r="P55" i="16" s="1"/>
  <c r="E76" i="15"/>
  <c r="O54" i="16" s="1"/>
  <c r="P54" i="16" s="1"/>
  <c r="E75" i="15"/>
  <c r="O53" i="16" s="1"/>
  <c r="P53" i="16" s="1"/>
  <c r="E74" i="15"/>
  <c r="O52" i="16" s="1"/>
  <c r="P52" i="16" s="1"/>
  <c r="E73" i="15"/>
  <c r="O51" i="16" s="1"/>
  <c r="P51" i="16" s="1"/>
  <c r="E72" i="15"/>
  <c r="O50" i="16" s="1"/>
  <c r="P50" i="16" s="1"/>
  <c r="E71" i="15"/>
  <c r="O49" i="16" s="1"/>
  <c r="P49" i="16" s="1"/>
  <c r="E70" i="15"/>
  <c r="E69" i="15"/>
  <c r="O47" i="16" s="1"/>
  <c r="P47" i="16" s="1"/>
  <c r="E68" i="15"/>
  <c r="O46" i="16" s="1"/>
  <c r="P46" i="16" s="1"/>
  <c r="E67" i="15"/>
  <c r="O45" i="16" s="1"/>
  <c r="P45" i="16" s="1"/>
  <c r="E66" i="15"/>
  <c r="O44" i="16" s="1"/>
  <c r="P44" i="16" s="1"/>
  <c r="E65" i="15"/>
  <c r="O43" i="16" s="1"/>
  <c r="P43" i="16" s="1"/>
  <c r="E64" i="15"/>
  <c r="O42" i="16" s="1"/>
  <c r="P42" i="16" s="1"/>
  <c r="E63" i="15"/>
  <c r="O41" i="16" s="1"/>
  <c r="P41" i="16" s="1"/>
  <c r="E62" i="15"/>
  <c r="E61" i="15"/>
  <c r="O39" i="16" s="1"/>
  <c r="P39" i="16" s="1"/>
  <c r="E60" i="15"/>
  <c r="O38" i="16" s="1"/>
  <c r="P38" i="16" s="1"/>
  <c r="E59" i="15"/>
  <c r="J55" i="16" s="1"/>
  <c r="K55" i="16" s="1"/>
  <c r="E58" i="15"/>
  <c r="J54" i="16" s="1"/>
  <c r="K54" i="16" s="1"/>
  <c r="E57" i="15"/>
  <c r="J53" i="16" s="1"/>
  <c r="K53" i="16" s="1"/>
  <c r="E56" i="15"/>
  <c r="J52" i="16" s="1"/>
  <c r="K52" i="16" s="1"/>
  <c r="E55" i="15"/>
  <c r="J51" i="16" s="1"/>
  <c r="K51" i="16" s="1"/>
  <c r="E54" i="15"/>
  <c r="J50" i="16" s="1"/>
  <c r="K50" i="16" s="1"/>
  <c r="E53" i="15"/>
  <c r="J49" i="16" s="1"/>
  <c r="K49" i="16" s="1"/>
  <c r="E52" i="15"/>
  <c r="J48" i="16" s="1"/>
  <c r="K48" i="16" s="1"/>
  <c r="E51" i="15"/>
  <c r="J47" i="16" s="1"/>
  <c r="K47" i="16" s="1"/>
  <c r="E50" i="15"/>
  <c r="J46" i="16" s="1"/>
  <c r="K46" i="16" s="1"/>
  <c r="E49" i="15"/>
  <c r="J45" i="16" s="1"/>
  <c r="K45" i="16" s="1"/>
  <c r="E48" i="15"/>
  <c r="J44" i="16" s="1"/>
  <c r="K44" i="16" s="1"/>
  <c r="E47" i="15"/>
  <c r="J43" i="16" s="1"/>
  <c r="K43" i="16" s="1"/>
  <c r="E46" i="15"/>
  <c r="J42" i="16" s="1"/>
  <c r="K42" i="16" s="1"/>
  <c r="E45" i="15"/>
  <c r="J41" i="16" s="1"/>
  <c r="K41" i="16" s="1"/>
  <c r="E44" i="15"/>
  <c r="J40" i="16" s="1"/>
  <c r="K40" i="16" s="1"/>
  <c r="E43" i="15"/>
  <c r="J39" i="16" s="1"/>
  <c r="K39" i="16" s="1"/>
  <c r="E42" i="15"/>
  <c r="J38" i="16" s="1"/>
  <c r="K38" i="16" s="1"/>
  <c r="E41" i="15"/>
  <c r="E55" i="16" s="1"/>
  <c r="F55" i="16" s="1"/>
  <c r="E40" i="15"/>
  <c r="E54" i="16" s="1"/>
  <c r="F54" i="16" s="1"/>
  <c r="E39" i="15"/>
  <c r="E53" i="16" s="1"/>
  <c r="F53" i="16" s="1"/>
  <c r="E38" i="15"/>
  <c r="E52" i="16" s="1"/>
  <c r="F52" i="16" s="1"/>
  <c r="E37" i="15"/>
  <c r="E51" i="16" s="1"/>
  <c r="F51" i="16" s="1"/>
  <c r="E36" i="15"/>
  <c r="E50" i="16" s="1"/>
  <c r="F50" i="16" s="1"/>
  <c r="E35" i="15"/>
  <c r="E49" i="16" s="1"/>
  <c r="F49" i="16" s="1"/>
  <c r="E34" i="15"/>
  <c r="E48" i="16" s="1"/>
  <c r="F48" i="16" s="1"/>
  <c r="E33" i="15"/>
  <c r="E47" i="16" s="1"/>
  <c r="F47" i="16" s="1"/>
  <c r="E32" i="15"/>
  <c r="E46" i="16" s="1"/>
  <c r="F46" i="16" s="1"/>
  <c r="E31" i="15"/>
  <c r="E45" i="16" s="1"/>
  <c r="F45" i="16" s="1"/>
  <c r="E30" i="15"/>
  <c r="E44" i="16" s="1"/>
  <c r="F44" i="16" s="1"/>
  <c r="E29" i="15"/>
  <c r="E43" i="16" s="1"/>
  <c r="F43" i="16" s="1"/>
  <c r="E28" i="15"/>
  <c r="E42" i="16" s="1"/>
  <c r="F42" i="16" s="1"/>
  <c r="E27" i="15"/>
  <c r="E41" i="16" s="1"/>
  <c r="F41" i="16" s="1"/>
  <c r="E26" i="15"/>
  <c r="E40" i="16" s="1"/>
  <c r="F40" i="16" s="1"/>
  <c r="E25" i="15"/>
  <c r="E39" i="16" s="1"/>
  <c r="F39" i="16" s="1"/>
  <c r="B25" i="15"/>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E24" i="15"/>
  <c r="E38" i="16" s="1"/>
  <c r="F38" i="16" s="1"/>
  <c r="Q117" i="14"/>
  <c r="N124" i="14" s="1"/>
  <c r="Q116" i="14"/>
  <c r="M124" i="14" s="1"/>
  <c r="Q115" i="14"/>
  <c r="L124" i="14" s="1"/>
  <c r="L93" i="14" a="1"/>
  <c r="L93" i="14" s="1"/>
  <c r="H124" i="14" s="1"/>
  <c r="H126" i="14" s="1"/>
  <c r="H127" i="14" s="1"/>
  <c r="L91" i="14" a="1"/>
  <c r="L91" i="14" s="1"/>
  <c r="G124" i="14" s="1"/>
  <c r="D85" i="14"/>
  <c r="F124" i="14" s="1"/>
  <c r="F126" i="14" s="1"/>
  <c r="F127" i="14" s="1"/>
  <c r="O41" i="14"/>
  <c r="P41" i="14" s="1"/>
  <c r="O53" i="14"/>
  <c r="P53" i="14" s="1"/>
  <c r="J44" i="14"/>
  <c r="K44" i="14" s="1"/>
  <c r="J52" i="14"/>
  <c r="K52" i="14" s="1"/>
  <c r="J55" i="14"/>
  <c r="K55" i="14" s="1"/>
  <c r="E42" i="14"/>
  <c r="F42" i="14" s="1"/>
  <c r="E45" i="14"/>
  <c r="F45" i="14" s="1"/>
  <c r="S39" i="14"/>
  <c r="S40" i="14"/>
  <c r="S41" i="14"/>
  <c r="S42" i="14"/>
  <c r="S43" i="14"/>
  <c r="S44" i="14"/>
  <c r="S45" i="14"/>
  <c r="S46" i="14"/>
  <c r="S47" i="14"/>
  <c r="S48" i="14"/>
  <c r="S49" i="14"/>
  <c r="S50" i="14"/>
  <c r="S51" i="14"/>
  <c r="S52" i="14"/>
  <c r="S53" i="14"/>
  <c r="S54" i="14"/>
  <c r="S38" i="14"/>
  <c r="N39" i="14"/>
  <c r="N40" i="14"/>
  <c r="N41" i="14"/>
  <c r="N42" i="14"/>
  <c r="N43" i="14"/>
  <c r="N44" i="14"/>
  <c r="N45" i="14"/>
  <c r="N46" i="14"/>
  <c r="N47" i="14"/>
  <c r="N48" i="14"/>
  <c r="N49" i="14"/>
  <c r="N50" i="14"/>
  <c r="N51" i="14"/>
  <c r="N52" i="14"/>
  <c r="N53" i="14"/>
  <c r="N54" i="14"/>
  <c r="N55" i="14"/>
  <c r="N38" i="14"/>
  <c r="I39" i="14"/>
  <c r="I40" i="14"/>
  <c r="I41" i="14"/>
  <c r="I42" i="14"/>
  <c r="I43" i="14"/>
  <c r="I44" i="14"/>
  <c r="I45" i="14"/>
  <c r="I46" i="14"/>
  <c r="I47" i="14"/>
  <c r="I48" i="14"/>
  <c r="I49" i="14"/>
  <c r="I50" i="14"/>
  <c r="I51" i="14"/>
  <c r="I52" i="14"/>
  <c r="I53" i="14"/>
  <c r="I54" i="14"/>
  <c r="I55" i="14"/>
  <c r="I38" i="14"/>
  <c r="D39" i="14"/>
  <c r="D40" i="14"/>
  <c r="D41" i="14"/>
  <c r="D42" i="14"/>
  <c r="D43" i="14"/>
  <c r="D44" i="14"/>
  <c r="D45" i="14"/>
  <c r="D46" i="14"/>
  <c r="D47" i="14"/>
  <c r="D48" i="14"/>
  <c r="D49" i="14"/>
  <c r="D50" i="14"/>
  <c r="D51" i="14"/>
  <c r="D52" i="14"/>
  <c r="D53" i="14"/>
  <c r="D54" i="14"/>
  <c r="D55" i="14"/>
  <c r="D38" i="14"/>
  <c r="D17" i="14"/>
  <c r="D11" i="14"/>
  <c r="E10" i="14"/>
  <c r="D178" i="14"/>
  <c r="D177" i="14"/>
  <c r="D176" i="14"/>
  <c r="D175" i="14"/>
  <c r="D174" i="14"/>
  <c r="D173" i="14"/>
  <c r="D172" i="14"/>
  <c r="D168" i="14"/>
  <c r="D167" i="14"/>
  <c r="D166" i="14"/>
  <c r="D165" i="14"/>
  <c r="D164" i="14"/>
  <c r="D163" i="14"/>
  <c r="D162" i="14"/>
  <c r="D148" i="14"/>
  <c r="D147" i="14"/>
  <c r="D146" i="14"/>
  <c r="D145" i="14"/>
  <c r="D144" i="14"/>
  <c r="D143" i="14"/>
  <c r="D142" i="14"/>
  <c r="M55" i="14"/>
  <c r="H55" i="14"/>
  <c r="C55" i="14"/>
  <c r="R54" i="14"/>
  <c r="M54" i="14"/>
  <c r="H54" i="14"/>
  <c r="C54" i="14"/>
  <c r="R53" i="14"/>
  <c r="M53" i="14"/>
  <c r="H53" i="14"/>
  <c r="C53" i="14"/>
  <c r="R52" i="14"/>
  <c r="M52" i="14"/>
  <c r="H52" i="14"/>
  <c r="C52" i="14"/>
  <c r="R51" i="14"/>
  <c r="M51" i="14"/>
  <c r="H51" i="14"/>
  <c r="C51" i="14"/>
  <c r="R50" i="14"/>
  <c r="M50" i="14"/>
  <c r="H50" i="14"/>
  <c r="C50" i="14"/>
  <c r="R49" i="14"/>
  <c r="M49" i="14"/>
  <c r="H49" i="14"/>
  <c r="C49" i="14"/>
  <c r="R48" i="14"/>
  <c r="M48" i="14"/>
  <c r="H48" i="14"/>
  <c r="C48" i="14"/>
  <c r="R47" i="14"/>
  <c r="M47" i="14"/>
  <c r="H47" i="14"/>
  <c r="C47" i="14"/>
  <c r="R46" i="14"/>
  <c r="M46" i="14"/>
  <c r="H46" i="14"/>
  <c r="C46" i="14"/>
  <c r="R45" i="14"/>
  <c r="M45" i="14"/>
  <c r="H45" i="14"/>
  <c r="C45" i="14"/>
  <c r="R44" i="14"/>
  <c r="M44" i="14"/>
  <c r="H44" i="14"/>
  <c r="C44" i="14"/>
  <c r="R43" i="14"/>
  <c r="M43" i="14"/>
  <c r="H43" i="14"/>
  <c r="C43" i="14"/>
  <c r="R42" i="14"/>
  <c r="M42" i="14"/>
  <c r="H42" i="14"/>
  <c r="C42" i="14"/>
  <c r="R41" i="14"/>
  <c r="M41" i="14"/>
  <c r="H41" i="14"/>
  <c r="C41" i="14"/>
  <c r="R40" i="14"/>
  <c r="M40" i="14"/>
  <c r="H40" i="14"/>
  <c r="C40" i="14"/>
  <c r="R39" i="14"/>
  <c r="Q39" i="14"/>
  <c r="Q40" i="14" s="1"/>
  <c r="Q41" i="14" s="1"/>
  <c r="Q42" i="14" s="1"/>
  <c r="Q43" i="14" s="1"/>
  <c r="Q44" i="14" s="1"/>
  <c r="Q45" i="14" s="1"/>
  <c r="Q46" i="14" s="1"/>
  <c r="Q47" i="14" s="1"/>
  <c r="Q48" i="14" s="1"/>
  <c r="Q49" i="14" s="1"/>
  <c r="Q50" i="14" s="1"/>
  <c r="Q51" i="14" s="1"/>
  <c r="Q52" i="14" s="1"/>
  <c r="Q53" i="14" s="1"/>
  <c r="Q54" i="14" s="1"/>
  <c r="M39" i="14"/>
  <c r="L39" i="14"/>
  <c r="L40" i="14" s="1"/>
  <c r="L41" i="14" s="1"/>
  <c r="L42" i="14" s="1"/>
  <c r="L43" i="14" s="1"/>
  <c r="L44" i="14" s="1"/>
  <c r="L45" i="14" s="1"/>
  <c r="L46" i="14" s="1"/>
  <c r="L47" i="14" s="1"/>
  <c r="L48" i="14" s="1"/>
  <c r="L49" i="14" s="1"/>
  <c r="L50" i="14" s="1"/>
  <c r="L51" i="14" s="1"/>
  <c r="L52" i="14" s="1"/>
  <c r="L53" i="14" s="1"/>
  <c r="L54" i="14" s="1"/>
  <c r="L55" i="14" s="1"/>
  <c r="H39" i="14"/>
  <c r="G39" i="14"/>
  <c r="G40" i="14" s="1"/>
  <c r="G41" i="14" s="1"/>
  <c r="G42" i="14" s="1"/>
  <c r="G43" i="14" s="1"/>
  <c r="G44" i="14" s="1"/>
  <c r="G45" i="14" s="1"/>
  <c r="G46" i="14" s="1"/>
  <c r="G47" i="14" s="1"/>
  <c r="G48" i="14" s="1"/>
  <c r="G49" i="14" s="1"/>
  <c r="G50" i="14" s="1"/>
  <c r="G51" i="14" s="1"/>
  <c r="G52" i="14" s="1"/>
  <c r="G53" i="14" s="1"/>
  <c r="G54" i="14" s="1"/>
  <c r="G55" i="14" s="1"/>
  <c r="C39" i="14"/>
  <c r="R38" i="14"/>
  <c r="M38" i="14"/>
  <c r="H38" i="14"/>
  <c r="C38" i="14"/>
  <c r="B38" i="14"/>
  <c r="D14" i="14"/>
  <c r="D297" i="17" s="1"/>
  <c r="D13" i="14"/>
  <c r="D137" i="14" s="1"/>
  <c r="E94" i="13"/>
  <c r="T54" i="14" s="1"/>
  <c r="U54" i="14" s="1"/>
  <c r="E93" i="13"/>
  <c r="T53" i="14" s="1"/>
  <c r="U53" i="14" s="1"/>
  <c r="E92" i="13"/>
  <c r="T52" i="14" s="1"/>
  <c r="U52" i="14" s="1"/>
  <c r="E91" i="13"/>
  <c r="T51" i="14" s="1"/>
  <c r="U51" i="14" s="1"/>
  <c r="E90" i="13"/>
  <c r="T50" i="14" s="1"/>
  <c r="U50" i="14" s="1"/>
  <c r="E89" i="13"/>
  <c r="T49" i="14" s="1"/>
  <c r="U49" i="14" s="1"/>
  <c r="E88" i="13"/>
  <c r="T48" i="14" s="1"/>
  <c r="U48" i="14" s="1"/>
  <c r="E87" i="13"/>
  <c r="T47" i="14" s="1"/>
  <c r="U47" i="14" s="1"/>
  <c r="E86" i="13"/>
  <c r="T46" i="14" s="1"/>
  <c r="U46" i="14" s="1"/>
  <c r="E85" i="13"/>
  <c r="T45" i="14" s="1"/>
  <c r="U45" i="14" s="1"/>
  <c r="E84" i="13"/>
  <c r="T44" i="14" s="1"/>
  <c r="U44" i="14" s="1"/>
  <c r="E83" i="13"/>
  <c r="T43" i="14" s="1"/>
  <c r="U43" i="14" s="1"/>
  <c r="E82" i="13"/>
  <c r="T42" i="14" s="1"/>
  <c r="U42" i="14" s="1"/>
  <c r="E81" i="13"/>
  <c r="T41" i="14" s="1"/>
  <c r="U41" i="14" s="1"/>
  <c r="E80" i="13"/>
  <c r="T40" i="14" s="1"/>
  <c r="U40" i="14" s="1"/>
  <c r="E79" i="13"/>
  <c r="T39" i="14" s="1"/>
  <c r="U39" i="14" s="1"/>
  <c r="E78" i="13"/>
  <c r="T38" i="14" s="1"/>
  <c r="U38" i="14" s="1"/>
  <c r="E77" i="13"/>
  <c r="O55" i="14" s="1"/>
  <c r="P55" i="14" s="1"/>
  <c r="E76" i="13"/>
  <c r="O54" i="14" s="1"/>
  <c r="P54" i="14" s="1"/>
  <c r="E75" i="13"/>
  <c r="E74" i="13"/>
  <c r="O52" i="14" s="1"/>
  <c r="P52" i="14" s="1"/>
  <c r="E73" i="13"/>
  <c r="O51" i="14" s="1"/>
  <c r="P51" i="14" s="1"/>
  <c r="E72" i="13"/>
  <c r="O50" i="14" s="1"/>
  <c r="P50" i="14" s="1"/>
  <c r="E71" i="13"/>
  <c r="O49" i="14" s="1"/>
  <c r="P49" i="14" s="1"/>
  <c r="E70" i="13"/>
  <c r="O48" i="14" s="1"/>
  <c r="P48" i="14" s="1"/>
  <c r="E69" i="13"/>
  <c r="O47" i="14" s="1"/>
  <c r="P47" i="14" s="1"/>
  <c r="E68" i="13"/>
  <c r="O46" i="14" s="1"/>
  <c r="P46" i="14" s="1"/>
  <c r="E67" i="13"/>
  <c r="O45" i="14" s="1"/>
  <c r="P45" i="14" s="1"/>
  <c r="E66" i="13"/>
  <c r="O44" i="14" s="1"/>
  <c r="P44" i="14" s="1"/>
  <c r="E65" i="13"/>
  <c r="O43" i="14" s="1"/>
  <c r="P43" i="14" s="1"/>
  <c r="E64" i="13"/>
  <c r="O42" i="14" s="1"/>
  <c r="P42" i="14" s="1"/>
  <c r="E63" i="13"/>
  <c r="E62" i="13"/>
  <c r="O40" i="14" s="1"/>
  <c r="P40" i="14" s="1"/>
  <c r="E61" i="13"/>
  <c r="O39" i="14" s="1"/>
  <c r="P39" i="14" s="1"/>
  <c r="E60" i="13"/>
  <c r="O38" i="14" s="1"/>
  <c r="P38" i="14" s="1"/>
  <c r="E59" i="13"/>
  <c r="E58" i="13"/>
  <c r="J54" i="14" s="1"/>
  <c r="K54" i="14" s="1"/>
  <c r="E57" i="13"/>
  <c r="J53" i="14" s="1"/>
  <c r="K53" i="14" s="1"/>
  <c r="E56" i="13"/>
  <c r="E55" i="13"/>
  <c r="J51" i="14" s="1"/>
  <c r="K51" i="14" s="1"/>
  <c r="E54" i="13"/>
  <c r="J50" i="14" s="1"/>
  <c r="K50" i="14" s="1"/>
  <c r="E53" i="13"/>
  <c r="J49" i="14" s="1"/>
  <c r="K49" i="14" s="1"/>
  <c r="E52" i="13"/>
  <c r="J48" i="14" s="1"/>
  <c r="K48" i="14" s="1"/>
  <c r="E51" i="13"/>
  <c r="J47" i="14" s="1"/>
  <c r="K47" i="14" s="1"/>
  <c r="E50" i="13"/>
  <c r="J46" i="14" s="1"/>
  <c r="K46" i="14" s="1"/>
  <c r="E49" i="13"/>
  <c r="J45" i="14" s="1"/>
  <c r="K45" i="14" s="1"/>
  <c r="E48" i="13"/>
  <c r="E47" i="13"/>
  <c r="J43" i="14" s="1"/>
  <c r="K43" i="14" s="1"/>
  <c r="E46" i="13"/>
  <c r="J42" i="14" s="1"/>
  <c r="K42" i="14" s="1"/>
  <c r="E45" i="13"/>
  <c r="J41" i="14" s="1"/>
  <c r="K41" i="14" s="1"/>
  <c r="E44" i="13"/>
  <c r="J40" i="14" s="1"/>
  <c r="K40" i="14" s="1"/>
  <c r="E43" i="13"/>
  <c r="J39" i="14" s="1"/>
  <c r="K39" i="14" s="1"/>
  <c r="E42" i="13"/>
  <c r="J38" i="14" s="1"/>
  <c r="K38" i="14" s="1"/>
  <c r="E41" i="13"/>
  <c r="E55" i="14" s="1"/>
  <c r="F55" i="14" s="1"/>
  <c r="E40" i="13"/>
  <c r="E54" i="14" s="1"/>
  <c r="F54" i="14" s="1"/>
  <c r="E39" i="13"/>
  <c r="E53" i="14" s="1"/>
  <c r="F53" i="14" s="1"/>
  <c r="E38" i="13"/>
  <c r="E52" i="14" s="1"/>
  <c r="F52" i="14" s="1"/>
  <c r="E37" i="13"/>
  <c r="E51" i="14" s="1"/>
  <c r="F51" i="14" s="1"/>
  <c r="E36" i="13"/>
  <c r="E50" i="14" s="1"/>
  <c r="F50" i="14" s="1"/>
  <c r="E35" i="13"/>
  <c r="E49" i="14" s="1"/>
  <c r="F49" i="14" s="1"/>
  <c r="E34" i="13"/>
  <c r="E48" i="14" s="1"/>
  <c r="F48" i="14" s="1"/>
  <c r="E33" i="13"/>
  <c r="E47" i="14" s="1"/>
  <c r="F47" i="14" s="1"/>
  <c r="E32" i="13"/>
  <c r="E46" i="14" s="1"/>
  <c r="F46" i="14" s="1"/>
  <c r="E31" i="13"/>
  <c r="E30" i="13"/>
  <c r="E44" i="14" s="1"/>
  <c r="F44" i="14" s="1"/>
  <c r="E29" i="13"/>
  <c r="E43" i="14" s="1"/>
  <c r="F43" i="14" s="1"/>
  <c r="E28" i="13"/>
  <c r="E27" i="13"/>
  <c r="E41" i="14" s="1"/>
  <c r="F41" i="14" s="1"/>
  <c r="E26" i="13"/>
  <c r="E40" i="14" s="1"/>
  <c r="F40" i="14" s="1"/>
  <c r="E25" i="13"/>
  <c r="E39" i="14" s="1"/>
  <c r="F39" i="14" s="1"/>
  <c r="B25" i="13"/>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E24" i="13"/>
  <c r="E38" i="14" s="1"/>
  <c r="F38" i="14" s="1"/>
  <c r="F124" i="16" l="1"/>
  <c r="F125" i="16" s="1"/>
  <c r="F158" i="16" s="1"/>
  <c r="M124" i="16"/>
  <c r="M125" i="16" s="1"/>
  <c r="M158" i="16" s="1"/>
  <c r="M152" i="16" s="1"/>
  <c r="M113" i="20"/>
  <c r="G124" i="16"/>
  <c r="G125" i="16" s="1"/>
  <c r="G158" i="16" s="1"/>
  <c r="G152" i="16" s="1"/>
  <c r="N124" i="16"/>
  <c r="N125" i="16" s="1"/>
  <c r="N158" i="16" s="1"/>
  <c r="H124" i="16"/>
  <c r="H125" i="16" s="1"/>
  <c r="H158" i="16" s="1"/>
  <c r="H157" i="16" s="1"/>
  <c r="D216" i="17"/>
  <c r="D159" i="17"/>
  <c r="M302" i="17"/>
  <c r="M303" i="17" s="1"/>
  <c r="G302" i="17"/>
  <c r="G303" i="17" s="1"/>
  <c r="P302" i="17"/>
  <c r="P303" i="17" s="1"/>
  <c r="J302" i="17"/>
  <c r="J303" i="17" s="1"/>
  <c r="E26" i="5"/>
  <c r="G26" i="5" s="1"/>
  <c r="H26" i="5" s="1"/>
  <c r="E27" i="5"/>
  <c r="G27" i="5" s="1"/>
  <c r="H27" i="5" s="1"/>
  <c r="E28" i="5"/>
  <c r="G28" i="5" s="1"/>
  <c r="H28" i="5" s="1"/>
  <c r="K129" i="20"/>
  <c r="K162" i="20" s="1"/>
  <c r="K152" i="20"/>
  <c r="K130" i="20"/>
  <c r="I178" i="20"/>
  <c r="I177" i="20"/>
  <c r="I181" i="20"/>
  <c r="I180" i="20"/>
  <c r="I176" i="20"/>
  <c r="I179" i="20"/>
  <c r="J192" i="20"/>
  <c r="J191" i="20"/>
  <c r="E151" i="20"/>
  <c r="E147" i="20"/>
  <c r="E148" i="20"/>
  <c r="E149" i="20"/>
  <c r="G192" i="20" s="1"/>
  <c r="E150" i="20"/>
  <c r="I83" i="20"/>
  <c r="K83" i="20" s="1"/>
  <c r="K82" i="20"/>
  <c r="I171" i="20"/>
  <c r="H150" i="5" s="1"/>
  <c r="I167" i="20"/>
  <c r="I168" i="20"/>
  <c r="I169" i="20"/>
  <c r="F150" i="5" s="1"/>
  <c r="I166" i="20"/>
  <c r="E150" i="5" s="1"/>
  <c r="I170" i="20"/>
  <c r="G150" i="5" s="1"/>
  <c r="E131" i="20"/>
  <c r="E182" i="20" s="1"/>
  <c r="E172" i="20"/>
  <c r="E158" i="20"/>
  <c r="E157" i="20"/>
  <c r="E161" i="20"/>
  <c r="E160" i="20"/>
  <c r="E156" i="20"/>
  <c r="E159" i="20"/>
  <c r="C82" i="17"/>
  <c r="C83" i="17"/>
  <c r="C116" i="17" s="1"/>
  <c r="F157" i="16"/>
  <c r="L157" i="16"/>
  <c r="N157" i="16"/>
  <c r="F152" i="16"/>
  <c r="L152" i="16"/>
  <c r="N152" i="16"/>
  <c r="F153" i="16"/>
  <c r="L153" i="16"/>
  <c r="N153" i="16"/>
  <c r="F154" i="16"/>
  <c r="L154" i="16"/>
  <c r="N154" i="16"/>
  <c r="F155" i="16"/>
  <c r="L155" i="16"/>
  <c r="N155" i="16"/>
  <c r="F156" i="16"/>
  <c r="L156" i="16"/>
  <c r="N156" i="16"/>
  <c r="G22" i="2"/>
  <c r="M155" i="16"/>
  <c r="C22" i="2"/>
  <c r="F22" i="2"/>
  <c r="M125" i="14"/>
  <c r="M158" i="14" s="1"/>
  <c r="M157" i="14" s="1"/>
  <c r="M126" i="14"/>
  <c r="M127" i="14" s="1"/>
  <c r="G125" i="14"/>
  <c r="G158" i="14" s="1"/>
  <c r="G157" i="14" s="1"/>
  <c r="G126" i="14"/>
  <c r="G127" i="14" s="1"/>
  <c r="L126" i="14"/>
  <c r="L127" i="14" s="1"/>
  <c r="L178" i="14" s="1"/>
  <c r="L172" i="14" s="1"/>
  <c r="L125" i="14"/>
  <c r="L158" i="14" s="1"/>
  <c r="L152" i="14" s="1"/>
  <c r="N126" i="14"/>
  <c r="N127" i="14" s="1"/>
  <c r="N178" i="14" s="1"/>
  <c r="N125" i="14"/>
  <c r="N158" i="14" s="1"/>
  <c r="N157" i="14" s="1"/>
  <c r="H125" i="14"/>
  <c r="H158" i="14" s="1"/>
  <c r="H157" i="14" s="1"/>
  <c r="F125" i="14"/>
  <c r="F158" i="14" s="1"/>
  <c r="F154" i="14" s="1"/>
  <c r="Q100" i="14"/>
  <c r="F13" i="16"/>
  <c r="D15" i="16" s="1"/>
  <c r="G127" i="16"/>
  <c r="L127" i="16"/>
  <c r="N127" i="16"/>
  <c r="F127" i="16"/>
  <c r="H127" i="16"/>
  <c r="M127" i="16"/>
  <c r="N100" i="16"/>
  <c r="Q100" i="16"/>
  <c r="N58" i="16"/>
  <c r="I120" i="16"/>
  <c r="N148" i="14"/>
  <c r="N143" i="14" s="1"/>
  <c r="L148" i="14"/>
  <c r="L142" i="14" s="1"/>
  <c r="K53" i="17" s="1"/>
  <c r="N100" i="14"/>
  <c r="N58" i="14"/>
  <c r="N145" i="14"/>
  <c r="M20" i="17" s="1"/>
  <c r="I120" i="14"/>
  <c r="F13" i="14"/>
  <c r="D15" i="14" s="1"/>
  <c r="M153" i="16" l="1"/>
  <c r="M154" i="16"/>
  <c r="M156" i="16"/>
  <c r="M157" i="16"/>
  <c r="H156" i="16"/>
  <c r="H155" i="16"/>
  <c r="H154" i="16"/>
  <c r="H153" i="16"/>
  <c r="H152" i="16"/>
  <c r="G157" i="16"/>
  <c r="G153" i="16"/>
  <c r="G155" i="16"/>
  <c r="L143" i="14"/>
  <c r="N142" i="14"/>
  <c r="M53" i="17" s="1"/>
  <c r="G103" i="14"/>
  <c r="I124" i="14" s="1"/>
  <c r="G156" i="16"/>
  <c r="G154" i="16"/>
  <c r="N146" i="14"/>
  <c r="E156" i="5"/>
  <c r="E152" i="5"/>
  <c r="E155" i="5"/>
  <c r="E159" i="5"/>
  <c r="E154" i="5"/>
  <c r="E158" i="5"/>
  <c r="E153" i="5"/>
  <c r="E157" i="5"/>
  <c r="H156" i="5"/>
  <c r="H152" i="5"/>
  <c r="H155" i="5"/>
  <c r="H159" i="5"/>
  <c r="H154" i="5"/>
  <c r="H158" i="5"/>
  <c r="H153" i="5"/>
  <c r="H157" i="5"/>
  <c r="F100" i="5"/>
  <c r="F53" i="5"/>
  <c r="G100" i="5"/>
  <c r="G53" i="5"/>
  <c r="G159" i="5"/>
  <c r="G154" i="5"/>
  <c r="G152" i="5"/>
  <c r="G156" i="5"/>
  <c r="G153" i="5"/>
  <c r="G155" i="5"/>
  <c r="G157" i="5"/>
  <c r="G158" i="5"/>
  <c r="F156" i="5"/>
  <c r="F152" i="5"/>
  <c r="F155" i="5"/>
  <c r="F159" i="5"/>
  <c r="F154" i="5"/>
  <c r="F158" i="5"/>
  <c r="F153" i="5"/>
  <c r="F157" i="5"/>
  <c r="E100" i="5"/>
  <c r="E53" i="5"/>
  <c r="H53" i="5"/>
  <c r="H100" i="5"/>
  <c r="P221" i="17"/>
  <c r="P222" i="17" s="1"/>
  <c r="G221" i="17"/>
  <c r="G222" i="17" s="1"/>
  <c r="M221" i="17"/>
  <c r="M222" i="17" s="1"/>
  <c r="J221" i="17"/>
  <c r="J222" i="17" s="1"/>
  <c r="L147" i="14"/>
  <c r="G61" i="16"/>
  <c r="I78" i="16" s="1"/>
  <c r="I79" i="16" s="1"/>
  <c r="M165" i="17"/>
  <c r="M166" i="17" s="1"/>
  <c r="J165" i="17"/>
  <c r="J166" i="17" s="1"/>
  <c r="P165" i="17"/>
  <c r="P166" i="17" s="1"/>
  <c r="G165" i="17"/>
  <c r="G166" i="17" s="1"/>
  <c r="E171" i="20"/>
  <c r="E167" i="20"/>
  <c r="E168" i="20"/>
  <c r="E169" i="20"/>
  <c r="E166" i="20"/>
  <c r="E170" i="20"/>
  <c r="K131" i="20"/>
  <c r="K182" i="20" s="1"/>
  <c r="K172" i="20"/>
  <c r="K160" i="20"/>
  <c r="K156" i="20"/>
  <c r="K159" i="20"/>
  <c r="K158" i="20"/>
  <c r="K157" i="20"/>
  <c r="K161" i="20"/>
  <c r="E178" i="20"/>
  <c r="E177" i="20"/>
  <c r="E181" i="20"/>
  <c r="E180" i="20"/>
  <c r="E176" i="20"/>
  <c r="E179" i="20"/>
  <c r="K149" i="20"/>
  <c r="K150" i="20"/>
  <c r="K151" i="20"/>
  <c r="K147" i="20"/>
  <c r="K148" i="20"/>
  <c r="G103" i="16"/>
  <c r="I126" i="16" s="1"/>
  <c r="I124" i="16" s="1"/>
  <c r="I125" i="16" s="1"/>
  <c r="I158" i="16" s="1"/>
  <c r="I152" i="16" s="1"/>
  <c r="L168" i="14"/>
  <c r="L163" i="14" s="1"/>
  <c r="N147" i="14"/>
  <c r="N175" i="14"/>
  <c r="N174" i="14"/>
  <c r="M155" i="14"/>
  <c r="H153" i="14"/>
  <c r="L174" i="14"/>
  <c r="N144" i="14"/>
  <c r="N168" i="14"/>
  <c r="N162" i="14" s="1"/>
  <c r="H155" i="14"/>
  <c r="H156" i="14"/>
  <c r="G153" i="14"/>
  <c r="L145" i="14"/>
  <c r="K20" i="17" s="1"/>
  <c r="F155" i="14"/>
  <c r="F153" i="14"/>
  <c r="F156" i="14"/>
  <c r="G155" i="14"/>
  <c r="L154" i="14"/>
  <c r="H154" i="14"/>
  <c r="M153" i="14"/>
  <c r="F152" i="14"/>
  <c r="F157" i="14"/>
  <c r="N154" i="14"/>
  <c r="L157" i="14"/>
  <c r="G156" i="14"/>
  <c r="N153" i="14"/>
  <c r="G152" i="14"/>
  <c r="M154" i="14"/>
  <c r="M156" i="14"/>
  <c r="L155" i="14"/>
  <c r="L153" i="14"/>
  <c r="L156" i="14"/>
  <c r="H152" i="14"/>
  <c r="N155" i="14"/>
  <c r="G154" i="14"/>
  <c r="M152" i="14"/>
  <c r="N156" i="14"/>
  <c r="N152" i="14"/>
  <c r="I125" i="14"/>
  <c r="I158" i="14" s="1"/>
  <c r="I126" i="14"/>
  <c r="I127" i="14" s="1"/>
  <c r="N172" i="14"/>
  <c r="L146" i="14"/>
  <c r="N176" i="14"/>
  <c r="L144" i="14"/>
  <c r="N177" i="14"/>
  <c r="E126" i="16"/>
  <c r="K76" i="16"/>
  <c r="L148" i="16"/>
  <c r="L178" i="16"/>
  <c r="L168" i="16"/>
  <c r="M148" i="16"/>
  <c r="M178" i="16"/>
  <c r="M168" i="16"/>
  <c r="N148" i="16"/>
  <c r="N178" i="16"/>
  <c r="N168" i="16"/>
  <c r="F148" i="16"/>
  <c r="F178" i="16"/>
  <c r="F168" i="16"/>
  <c r="G148" i="16"/>
  <c r="G178" i="16"/>
  <c r="G168" i="16"/>
  <c r="H148" i="16"/>
  <c r="H178" i="16"/>
  <c r="H168" i="16"/>
  <c r="G61" i="14"/>
  <c r="E124" i="14" s="1"/>
  <c r="G148" i="14"/>
  <c r="G178" i="14"/>
  <c r="G168" i="14"/>
  <c r="F148" i="14"/>
  <c r="F178" i="14"/>
  <c r="F168" i="14"/>
  <c r="M148" i="14"/>
  <c r="M178" i="14"/>
  <c r="M168" i="14"/>
  <c r="H148" i="14"/>
  <c r="H178" i="14"/>
  <c r="H168" i="14"/>
  <c r="L177" i="14"/>
  <c r="L175" i="14"/>
  <c r="L173" i="14"/>
  <c r="L166" i="14"/>
  <c r="L162" i="14"/>
  <c r="L176" i="14"/>
  <c r="N173" i="14"/>
  <c r="N166" i="14"/>
  <c r="I127" i="16" l="1"/>
  <c r="M107" i="16"/>
  <c r="J126" i="16" s="1"/>
  <c r="J124" i="16" s="1"/>
  <c r="J125" i="16" s="1"/>
  <c r="J158" i="16" s="1"/>
  <c r="H60" i="5"/>
  <c r="H62" i="5"/>
  <c r="M58" i="5" s="1"/>
  <c r="O58" i="5" s="1"/>
  <c r="P58" i="5" s="1"/>
  <c r="H58" i="5"/>
  <c r="H57" i="5"/>
  <c r="H55" i="5"/>
  <c r="H59" i="5"/>
  <c r="M57" i="5" s="1"/>
  <c r="O57" i="5" s="1"/>
  <c r="P57" i="5" s="1"/>
  <c r="H56" i="5"/>
  <c r="H61" i="5"/>
  <c r="E105" i="5"/>
  <c r="E109" i="5"/>
  <c r="M99" i="5" s="1"/>
  <c r="O99" i="5" s="1"/>
  <c r="P99" i="5" s="1"/>
  <c r="E106" i="5"/>
  <c r="M98" i="5" s="1"/>
  <c r="O98" i="5" s="1"/>
  <c r="P98" i="5" s="1"/>
  <c r="E103" i="5"/>
  <c r="E104" i="5"/>
  <c r="E102" i="5"/>
  <c r="E107" i="5"/>
  <c r="E108" i="5"/>
  <c r="M195" i="5"/>
  <c r="O195" i="5" s="1"/>
  <c r="P195" i="5" s="1"/>
  <c r="M150" i="5"/>
  <c r="O150" i="5" s="1"/>
  <c r="P150" i="5" s="1"/>
  <c r="M198" i="5"/>
  <c r="O198" i="5" s="1"/>
  <c r="P198" i="5" s="1"/>
  <c r="M153" i="5"/>
  <c r="O153" i="5" s="1"/>
  <c r="P153" i="5" s="1"/>
  <c r="G106" i="5"/>
  <c r="M102" i="5" s="1"/>
  <c r="O102" i="5" s="1"/>
  <c r="P102" i="5" s="1"/>
  <c r="G102" i="5"/>
  <c r="G107" i="5"/>
  <c r="G108" i="5"/>
  <c r="G104" i="5"/>
  <c r="G105" i="5"/>
  <c r="G109" i="5"/>
  <c r="M103" i="5" s="1"/>
  <c r="O103" i="5" s="1"/>
  <c r="P103" i="5" s="1"/>
  <c r="G103" i="5"/>
  <c r="F106" i="5"/>
  <c r="M100" i="5" s="1"/>
  <c r="O100" i="5" s="1"/>
  <c r="P100" i="5" s="1"/>
  <c r="F102" i="5"/>
  <c r="F105" i="5"/>
  <c r="F109" i="5"/>
  <c r="M101" i="5" s="1"/>
  <c r="O101" i="5" s="1"/>
  <c r="P101" i="5" s="1"/>
  <c r="F104" i="5"/>
  <c r="F108" i="5"/>
  <c r="F103" i="5"/>
  <c r="F107" i="5"/>
  <c r="M199" i="5"/>
  <c r="O199" i="5" s="1"/>
  <c r="P199" i="5" s="1"/>
  <c r="M154" i="5"/>
  <c r="O154" i="5" s="1"/>
  <c r="P154" i="5" s="1"/>
  <c r="M193" i="5"/>
  <c r="O193" i="5" s="1"/>
  <c r="P193" i="5" s="1"/>
  <c r="M148" i="5"/>
  <c r="O148" i="5" s="1"/>
  <c r="P148" i="5" s="1"/>
  <c r="H106" i="5"/>
  <c r="M104" i="5" s="1"/>
  <c r="O104" i="5" s="1"/>
  <c r="P104" i="5" s="1"/>
  <c r="H102" i="5"/>
  <c r="H105" i="5"/>
  <c r="H109" i="5"/>
  <c r="M105" i="5" s="1"/>
  <c r="O105" i="5" s="1"/>
  <c r="P105" i="5" s="1"/>
  <c r="H104" i="5"/>
  <c r="H108" i="5"/>
  <c r="H103" i="5"/>
  <c r="H107" i="5"/>
  <c r="E57" i="5"/>
  <c r="E61" i="5"/>
  <c r="E58" i="5"/>
  <c r="E55" i="5"/>
  <c r="E62" i="5"/>
  <c r="M52" i="5" s="1"/>
  <c r="O52" i="5" s="1"/>
  <c r="P52" i="5" s="1"/>
  <c r="E59" i="5"/>
  <c r="M51" i="5" s="1"/>
  <c r="O51" i="5" s="1"/>
  <c r="P51" i="5" s="1"/>
  <c r="E56" i="5"/>
  <c r="E60" i="5"/>
  <c r="M196" i="5"/>
  <c r="O196" i="5" s="1"/>
  <c r="P196" i="5" s="1"/>
  <c r="M151" i="5"/>
  <c r="O151" i="5" s="1"/>
  <c r="P151" i="5" s="1"/>
  <c r="M197" i="5"/>
  <c r="O197" i="5" s="1"/>
  <c r="P197" i="5" s="1"/>
  <c r="M152" i="5"/>
  <c r="O152" i="5" s="1"/>
  <c r="P152" i="5" s="1"/>
  <c r="G58" i="5"/>
  <c r="G55" i="5"/>
  <c r="G57" i="5"/>
  <c r="G61" i="5"/>
  <c r="G56" i="5"/>
  <c r="G60" i="5"/>
  <c r="G62" i="5"/>
  <c r="M56" i="5" s="1"/>
  <c r="O56" i="5" s="1"/>
  <c r="P56" i="5" s="1"/>
  <c r="G59" i="5"/>
  <c r="M55" i="5" s="1"/>
  <c r="O55" i="5" s="1"/>
  <c r="P55" i="5" s="1"/>
  <c r="F62" i="5"/>
  <c r="M54" i="5" s="1"/>
  <c r="O54" i="5" s="1"/>
  <c r="P54" i="5" s="1"/>
  <c r="F59" i="5"/>
  <c r="M53" i="5" s="1"/>
  <c r="O53" i="5" s="1"/>
  <c r="P53" i="5" s="1"/>
  <c r="F56" i="5"/>
  <c r="F60" i="5"/>
  <c r="F57" i="5"/>
  <c r="F61" i="5"/>
  <c r="F58" i="5"/>
  <c r="F55" i="5"/>
  <c r="M200" i="5"/>
  <c r="O200" i="5" s="1"/>
  <c r="P200" i="5" s="1"/>
  <c r="M155" i="5"/>
  <c r="O155" i="5" s="1"/>
  <c r="P155" i="5" s="1"/>
  <c r="M194" i="5"/>
  <c r="O194" i="5" s="1"/>
  <c r="P194" i="5" s="1"/>
  <c r="M149" i="5"/>
  <c r="O149" i="5" s="1"/>
  <c r="P149" i="5" s="1"/>
  <c r="I156" i="16"/>
  <c r="I153" i="16"/>
  <c r="F109" i="16"/>
  <c r="M109" i="16" s="1"/>
  <c r="K126" i="16" s="1"/>
  <c r="K124" i="16" s="1"/>
  <c r="K125" i="16" s="1"/>
  <c r="K158" i="16" s="1"/>
  <c r="N167" i="14"/>
  <c r="I154" i="16"/>
  <c r="I157" i="16"/>
  <c r="I155" i="16"/>
  <c r="K180" i="20"/>
  <c r="K176" i="20"/>
  <c r="K179" i="20"/>
  <c r="K178" i="20"/>
  <c r="K177" i="20"/>
  <c r="K181" i="20"/>
  <c r="K169" i="20"/>
  <c r="K166" i="20"/>
  <c r="K170" i="20"/>
  <c r="K171" i="20"/>
  <c r="K167" i="20"/>
  <c r="K168" i="20"/>
  <c r="L165" i="14"/>
  <c r="L167" i="14"/>
  <c r="N164" i="14"/>
  <c r="L164" i="14"/>
  <c r="N165" i="14"/>
  <c r="N163" i="14"/>
  <c r="J152" i="16"/>
  <c r="J154" i="16"/>
  <c r="J156" i="16"/>
  <c r="J157" i="16"/>
  <c r="J153" i="16"/>
  <c r="J155" i="16"/>
  <c r="I157" i="14"/>
  <c r="I156" i="14"/>
  <c r="I155" i="14"/>
  <c r="I154" i="14"/>
  <c r="I152" i="14"/>
  <c r="I153" i="14"/>
  <c r="E125" i="14"/>
  <c r="E158" i="14" s="1"/>
  <c r="E126" i="14"/>
  <c r="E124" i="16"/>
  <c r="E125" i="16" s="1"/>
  <c r="E158" i="16" s="1"/>
  <c r="E127" i="16"/>
  <c r="J127" i="16"/>
  <c r="J109" i="16"/>
  <c r="H172" i="16"/>
  <c r="D117" i="17" s="1"/>
  <c r="H176" i="16"/>
  <c r="H117" i="17" s="1"/>
  <c r="H174" i="16"/>
  <c r="F117" i="17" s="1"/>
  <c r="H173" i="16"/>
  <c r="E117" i="17" s="1"/>
  <c r="H175" i="16"/>
  <c r="G117" i="17" s="1"/>
  <c r="H177" i="16"/>
  <c r="I117" i="17" s="1"/>
  <c r="G167" i="16"/>
  <c r="I378" i="17" s="1"/>
  <c r="G163" i="16"/>
  <c r="E378" i="17" s="1"/>
  <c r="G164" i="16"/>
  <c r="F378" i="17" s="1"/>
  <c r="G165" i="16"/>
  <c r="G378" i="17" s="1"/>
  <c r="G162" i="16"/>
  <c r="D378" i="17" s="1"/>
  <c r="G166" i="16"/>
  <c r="H378" i="17" s="1"/>
  <c r="G144" i="16"/>
  <c r="G143" i="16"/>
  <c r="G147" i="16"/>
  <c r="G146" i="16"/>
  <c r="G142" i="16"/>
  <c r="G145" i="16"/>
  <c r="F174" i="16"/>
  <c r="F172" i="16"/>
  <c r="F176" i="16"/>
  <c r="F173" i="16"/>
  <c r="F175" i="16"/>
  <c r="F177" i="16"/>
  <c r="N163" i="16"/>
  <c r="N167" i="16"/>
  <c r="N164" i="16"/>
  <c r="N165" i="16"/>
  <c r="N162" i="16"/>
  <c r="N166" i="16"/>
  <c r="N144" i="16"/>
  <c r="N143" i="16"/>
  <c r="N147" i="16"/>
  <c r="N142" i="16"/>
  <c r="N146" i="16"/>
  <c r="N145" i="16"/>
  <c r="M176" i="16"/>
  <c r="M172" i="16"/>
  <c r="M175" i="16"/>
  <c r="M174" i="16"/>
  <c r="M173" i="16"/>
  <c r="M177" i="16"/>
  <c r="I148" i="16"/>
  <c r="I178" i="16"/>
  <c r="I168" i="16"/>
  <c r="L163" i="16"/>
  <c r="L167" i="16"/>
  <c r="L162" i="16"/>
  <c r="L164" i="16"/>
  <c r="L166" i="16"/>
  <c r="L165" i="16"/>
  <c r="L142" i="16"/>
  <c r="L146" i="16"/>
  <c r="L143" i="16"/>
  <c r="L145" i="16"/>
  <c r="L147" i="16"/>
  <c r="L144" i="16"/>
  <c r="K77" i="16"/>
  <c r="K79" i="16"/>
  <c r="K78" i="16"/>
  <c r="H163" i="16"/>
  <c r="H167" i="16"/>
  <c r="H165" i="16"/>
  <c r="H162" i="16"/>
  <c r="H164" i="16"/>
  <c r="H166" i="16"/>
  <c r="H142" i="16"/>
  <c r="H146" i="16"/>
  <c r="H143" i="16"/>
  <c r="H145" i="16"/>
  <c r="H144" i="16"/>
  <c r="H147" i="16"/>
  <c r="G174" i="16"/>
  <c r="G173" i="16"/>
  <c r="G177" i="16"/>
  <c r="G176" i="16"/>
  <c r="G172" i="16"/>
  <c r="G175" i="16"/>
  <c r="F165" i="16"/>
  <c r="F163" i="16"/>
  <c r="F167" i="16"/>
  <c r="F162" i="16"/>
  <c r="F164" i="16"/>
  <c r="F166" i="16"/>
  <c r="F144" i="16"/>
  <c r="F142" i="16"/>
  <c r="F146" i="16"/>
  <c r="F143" i="16"/>
  <c r="F145" i="16"/>
  <c r="F147" i="16"/>
  <c r="N174" i="16"/>
  <c r="N173" i="16"/>
  <c r="N177" i="16"/>
  <c r="N172" i="16"/>
  <c r="N176" i="16"/>
  <c r="N175" i="16"/>
  <c r="M165" i="16"/>
  <c r="M162" i="16"/>
  <c r="M166" i="16"/>
  <c r="M167" i="16"/>
  <c r="M163" i="16"/>
  <c r="M164" i="16"/>
  <c r="M146" i="16"/>
  <c r="M142" i="16"/>
  <c r="M145" i="16"/>
  <c r="M144" i="16"/>
  <c r="M143" i="16"/>
  <c r="M147" i="16"/>
  <c r="L172" i="16"/>
  <c r="L176" i="16"/>
  <c r="L173" i="16"/>
  <c r="L175" i="16"/>
  <c r="L177" i="16"/>
  <c r="L174" i="16"/>
  <c r="E178" i="16"/>
  <c r="E168" i="16"/>
  <c r="I76" i="14"/>
  <c r="K76" i="14" s="1"/>
  <c r="M107" i="14"/>
  <c r="J124" i="14" s="1"/>
  <c r="F109" i="14"/>
  <c r="H165" i="14"/>
  <c r="H162" i="14"/>
  <c r="H164" i="14"/>
  <c r="H166" i="14"/>
  <c r="H163" i="14"/>
  <c r="H167" i="14"/>
  <c r="M172" i="14"/>
  <c r="M176" i="14"/>
  <c r="M175" i="14"/>
  <c r="M174" i="14"/>
  <c r="M177" i="14"/>
  <c r="M173" i="14"/>
  <c r="H172" i="14"/>
  <c r="H176" i="14"/>
  <c r="H173" i="14"/>
  <c r="H175" i="14"/>
  <c r="H177" i="14"/>
  <c r="H174" i="14"/>
  <c r="M165" i="14"/>
  <c r="M166" i="14"/>
  <c r="M162" i="14"/>
  <c r="M163" i="14"/>
  <c r="M167" i="14"/>
  <c r="M164" i="14"/>
  <c r="M142" i="14"/>
  <c r="L53" i="17" s="1"/>
  <c r="M146" i="14"/>
  <c r="M144" i="14"/>
  <c r="M147" i="14"/>
  <c r="M143" i="14"/>
  <c r="M145" i="14"/>
  <c r="L20" i="17" s="1"/>
  <c r="F176" i="14"/>
  <c r="F175" i="14"/>
  <c r="F174" i="14"/>
  <c r="F172" i="14"/>
  <c r="F173" i="14"/>
  <c r="F177" i="14"/>
  <c r="G164" i="14"/>
  <c r="G166" i="14"/>
  <c r="G162" i="14"/>
  <c r="G163" i="14"/>
  <c r="G165" i="14"/>
  <c r="G167" i="14"/>
  <c r="G145" i="14"/>
  <c r="F20" i="17" s="1"/>
  <c r="G142" i="14"/>
  <c r="F53" i="17" s="1"/>
  <c r="G144" i="14"/>
  <c r="G146" i="14"/>
  <c r="G147" i="14"/>
  <c r="G143" i="14"/>
  <c r="K77" i="14"/>
  <c r="K79" i="14"/>
  <c r="K78" i="14"/>
  <c r="I148" i="14"/>
  <c r="I178" i="14"/>
  <c r="I168" i="14"/>
  <c r="H142" i="14"/>
  <c r="G53" i="17" s="1"/>
  <c r="H146" i="14"/>
  <c r="H143" i="14"/>
  <c r="H145" i="14"/>
  <c r="G20" i="17" s="1"/>
  <c r="H147" i="14"/>
  <c r="H144" i="14"/>
  <c r="F162" i="14"/>
  <c r="F163" i="14"/>
  <c r="F167" i="14"/>
  <c r="F165" i="14"/>
  <c r="F164" i="14"/>
  <c r="F166" i="14"/>
  <c r="F142" i="14"/>
  <c r="E53" i="17" s="1"/>
  <c r="F144" i="14"/>
  <c r="F146" i="14"/>
  <c r="F143" i="14"/>
  <c r="F145" i="14"/>
  <c r="E20" i="17" s="1"/>
  <c r="F147" i="14"/>
  <c r="G177" i="14"/>
  <c r="G173" i="14"/>
  <c r="G175" i="14"/>
  <c r="G172" i="14"/>
  <c r="G174" i="14"/>
  <c r="G176" i="14"/>
  <c r="E148" i="14"/>
  <c r="E148" i="16" l="1"/>
  <c r="J188" i="16" s="1"/>
  <c r="G86" i="17" s="1"/>
  <c r="J187" i="14"/>
  <c r="E84" i="17" s="1"/>
  <c r="J188" i="14"/>
  <c r="G84" i="17" s="1"/>
  <c r="K157" i="16"/>
  <c r="K153" i="16"/>
  <c r="K155" i="16"/>
  <c r="K152" i="16"/>
  <c r="K154" i="16"/>
  <c r="K156" i="16"/>
  <c r="E152" i="16"/>
  <c r="E154" i="16"/>
  <c r="E156" i="16"/>
  <c r="E157" i="16"/>
  <c r="E153" i="16"/>
  <c r="E155" i="16"/>
  <c r="E154" i="14"/>
  <c r="E152" i="14"/>
  <c r="E155" i="14"/>
  <c r="E157" i="14"/>
  <c r="E156" i="14"/>
  <c r="E153" i="14"/>
  <c r="J109" i="14"/>
  <c r="K124" i="14" s="1"/>
  <c r="K148" i="14" s="1"/>
  <c r="M109" i="14"/>
  <c r="J126" i="14"/>
  <c r="J127" i="14" s="1"/>
  <c r="J178" i="14" s="1"/>
  <c r="J125" i="14"/>
  <c r="J158" i="14" s="1"/>
  <c r="K127" i="16"/>
  <c r="K178" i="16" s="1"/>
  <c r="E165" i="16"/>
  <c r="E162" i="16"/>
  <c r="E166" i="16"/>
  <c r="E167" i="16"/>
  <c r="E163" i="16"/>
  <c r="E164" i="16"/>
  <c r="E146" i="16"/>
  <c r="E142" i="16"/>
  <c r="G187" i="16" s="1"/>
  <c r="D86" i="17" s="1"/>
  <c r="E145" i="16"/>
  <c r="G188" i="16" s="1"/>
  <c r="F86" i="17" s="1"/>
  <c r="E144" i="16"/>
  <c r="E143" i="16"/>
  <c r="E147" i="16"/>
  <c r="I165" i="16"/>
  <c r="J304" i="17" s="1"/>
  <c r="I162" i="16"/>
  <c r="G304" i="17" s="1"/>
  <c r="I166" i="16"/>
  <c r="M304" i="17" s="1"/>
  <c r="I167" i="16"/>
  <c r="P304" i="17" s="1"/>
  <c r="I163" i="16"/>
  <c r="I164" i="16"/>
  <c r="I146" i="16"/>
  <c r="I142" i="16"/>
  <c r="I145" i="16"/>
  <c r="I144" i="16"/>
  <c r="I143" i="16"/>
  <c r="I147" i="16"/>
  <c r="E176" i="16"/>
  <c r="E172" i="16"/>
  <c r="E175" i="16"/>
  <c r="E174" i="16"/>
  <c r="E173" i="16"/>
  <c r="E177" i="16"/>
  <c r="J148" i="16"/>
  <c r="J178" i="16"/>
  <c r="J168" i="16"/>
  <c r="K148" i="16"/>
  <c r="K168" i="16"/>
  <c r="I176" i="16"/>
  <c r="I172" i="16"/>
  <c r="I175" i="16"/>
  <c r="I174" i="16"/>
  <c r="I173" i="16"/>
  <c r="I177" i="16"/>
  <c r="J148" i="14"/>
  <c r="E145" i="14"/>
  <c r="E147" i="14"/>
  <c r="E143" i="14"/>
  <c r="E142" i="14"/>
  <c r="E144" i="14"/>
  <c r="E146" i="14"/>
  <c r="I175" i="14"/>
  <c r="I177" i="14"/>
  <c r="I173" i="14"/>
  <c r="I172" i="14"/>
  <c r="I174" i="14"/>
  <c r="I176" i="14"/>
  <c r="I166" i="14"/>
  <c r="I165" i="14"/>
  <c r="I164" i="14"/>
  <c r="I162" i="14"/>
  <c r="I163" i="14"/>
  <c r="I167" i="14"/>
  <c r="I144" i="14"/>
  <c r="I147" i="14"/>
  <c r="I143" i="14"/>
  <c r="I145" i="14"/>
  <c r="H20" i="17" s="1"/>
  <c r="I142" i="14"/>
  <c r="H53" i="17" s="1"/>
  <c r="I146" i="14"/>
  <c r="Q117" i="12"/>
  <c r="N125" i="12" s="1"/>
  <c r="Q116" i="12"/>
  <c r="M125" i="12" s="1"/>
  <c r="Q115" i="12"/>
  <c r="L125" i="12" s="1"/>
  <c r="L93" i="12" a="1"/>
  <c r="L93" i="12" s="1"/>
  <c r="H125" i="12" s="1"/>
  <c r="L91" i="12" a="1"/>
  <c r="L91" i="12" s="1"/>
  <c r="G125" i="12" s="1"/>
  <c r="D85" i="12"/>
  <c r="F125" i="12" s="1"/>
  <c r="T51" i="12"/>
  <c r="U51" i="12" s="1"/>
  <c r="S39" i="12"/>
  <c r="S40" i="12"/>
  <c r="S41" i="12"/>
  <c r="S42" i="12"/>
  <c r="S43" i="12"/>
  <c r="S44" i="12"/>
  <c r="S45" i="12"/>
  <c r="S46" i="12"/>
  <c r="S47" i="12"/>
  <c r="S48" i="12"/>
  <c r="S49" i="12"/>
  <c r="S50" i="12"/>
  <c r="S51" i="12"/>
  <c r="S52" i="12"/>
  <c r="S53" i="12"/>
  <c r="S54" i="12"/>
  <c r="S38" i="12"/>
  <c r="N55" i="12"/>
  <c r="N39" i="12"/>
  <c r="N40" i="12"/>
  <c r="N41" i="12"/>
  <c r="N42" i="12"/>
  <c r="N43" i="12"/>
  <c r="N44" i="12"/>
  <c r="N45" i="12"/>
  <c r="N46" i="12"/>
  <c r="N47" i="12"/>
  <c r="N48" i="12"/>
  <c r="N49" i="12"/>
  <c r="N50" i="12"/>
  <c r="N51" i="12"/>
  <c r="N52" i="12"/>
  <c r="N53" i="12"/>
  <c r="N54" i="12"/>
  <c r="N38" i="12"/>
  <c r="I39" i="12"/>
  <c r="I40" i="12"/>
  <c r="I41" i="12"/>
  <c r="I42" i="12"/>
  <c r="I43" i="12"/>
  <c r="I44" i="12"/>
  <c r="I45" i="12"/>
  <c r="I46" i="12"/>
  <c r="I47" i="12"/>
  <c r="I48" i="12"/>
  <c r="I49" i="12"/>
  <c r="I50" i="12"/>
  <c r="I51" i="12"/>
  <c r="I52" i="12"/>
  <c r="I53" i="12"/>
  <c r="I54" i="12"/>
  <c r="I55" i="12"/>
  <c r="I38" i="12"/>
  <c r="D39" i="12"/>
  <c r="D40" i="12"/>
  <c r="D41" i="12"/>
  <c r="D42" i="12"/>
  <c r="D43" i="12"/>
  <c r="D44" i="12"/>
  <c r="D45" i="12"/>
  <c r="D46" i="12"/>
  <c r="D47" i="12"/>
  <c r="D48" i="12"/>
  <c r="D49" i="12"/>
  <c r="D50" i="12"/>
  <c r="D51" i="12"/>
  <c r="D52" i="12"/>
  <c r="D53" i="12"/>
  <c r="D54" i="12"/>
  <c r="D55" i="12"/>
  <c r="D38" i="12"/>
  <c r="R39" i="12"/>
  <c r="R40" i="12"/>
  <c r="R41" i="12"/>
  <c r="R42" i="12"/>
  <c r="R43" i="12"/>
  <c r="R44" i="12"/>
  <c r="R45" i="12"/>
  <c r="R46" i="12"/>
  <c r="R47" i="12"/>
  <c r="R48" i="12"/>
  <c r="R49" i="12"/>
  <c r="R50" i="12"/>
  <c r="R51" i="12"/>
  <c r="R52" i="12"/>
  <c r="R53" i="12"/>
  <c r="R54" i="12"/>
  <c r="R38" i="12"/>
  <c r="M39" i="12"/>
  <c r="M40" i="12"/>
  <c r="M41" i="12"/>
  <c r="M42" i="12"/>
  <c r="M43" i="12"/>
  <c r="M44" i="12"/>
  <c r="M45" i="12"/>
  <c r="M46" i="12"/>
  <c r="M47" i="12"/>
  <c r="M48" i="12"/>
  <c r="M49" i="12"/>
  <c r="M50" i="12"/>
  <c r="M51" i="12"/>
  <c r="M52" i="12"/>
  <c r="M53" i="12"/>
  <c r="M54" i="12"/>
  <c r="M55" i="12"/>
  <c r="M38" i="12"/>
  <c r="H39" i="12"/>
  <c r="H40" i="12"/>
  <c r="H41" i="12"/>
  <c r="H42" i="12"/>
  <c r="H43" i="12"/>
  <c r="H44" i="12"/>
  <c r="H45" i="12"/>
  <c r="H46" i="12"/>
  <c r="H47" i="12"/>
  <c r="H48" i="12"/>
  <c r="H49" i="12"/>
  <c r="H50" i="12"/>
  <c r="H51" i="12"/>
  <c r="H52" i="12"/>
  <c r="H53" i="12"/>
  <c r="H54" i="12"/>
  <c r="H55" i="12"/>
  <c r="H38" i="12"/>
  <c r="C39" i="12"/>
  <c r="C40" i="12"/>
  <c r="C41" i="12"/>
  <c r="C42" i="12"/>
  <c r="C43" i="12"/>
  <c r="C44" i="12"/>
  <c r="C45" i="12"/>
  <c r="C46" i="12"/>
  <c r="C47" i="12"/>
  <c r="C48" i="12"/>
  <c r="C49" i="12"/>
  <c r="C50" i="12"/>
  <c r="C51" i="12"/>
  <c r="C52" i="12"/>
  <c r="C53" i="12"/>
  <c r="C54" i="12"/>
  <c r="C55" i="12"/>
  <c r="C38" i="12"/>
  <c r="D17" i="12"/>
  <c r="D14" i="12"/>
  <c r="D13" i="12"/>
  <c r="D137" i="12" s="1"/>
  <c r="D11" i="12"/>
  <c r="E10" i="12"/>
  <c r="D178" i="12"/>
  <c r="D177" i="12"/>
  <c r="D176" i="12"/>
  <c r="D175" i="12"/>
  <c r="D174" i="12"/>
  <c r="D173" i="12"/>
  <c r="D172" i="12"/>
  <c r="D168" i="12"/>
  <c r="D167" i="12"/>
  <c r="D166" i="12"/>
  <c r="D165" i="12"/>
  <c r="D164" i="12"/>
  <c r="D163" i="12"/>
  <c r="D162" i="12"/>
  <c r="D148" i="12"/>
  <c r="D147" i="12"/>
  <c r="D146" i="12"/>
  <c r="D145" i="12"/>
  <c r="D144" i="12"/>
  <c r="D143" i="12"/>
  <c r="D142" i="12"/>
  <c r="Q39" i="12"/>
  <c r="Q40" i="12" s="1"/>
  <c r="Q41" i="12" s="1"/>
  <c r="Q42" i="12" s="1"/>
  <c r="Q43" i="12" s="1"/>
  <c r="Q44" i="12" s="1"/>
  <c r="Q45" i="12" s="1"/>
  <c r="Q46" i="12" s="1"/>
  <c r="Q47" i="12" s="1"/>
  <c r="Q48" i="12" s="1"/>
  <c r="Q49" i="12" s="1"/>
  <c r="Q50" i="12" s="1"/>
  <c r="Q51" i="12" s="1"/>
  <c r="Q52" i="12" s="1"/>
  <c r="Q53" i="12" s="1"/>
  <c r="Q54" i="12" s="1"/>
  <c r="L39" i="12"/>
  <c r="L40" i="12" s="1"/>
  <c r="L41" i="12" s="1"/>
  <c r="L42" i="12" s="1"/>
  <c r="L43" i="12" s="1"/>
  <c r="L44" i="12" s="1"/>
  <c r="L45" i="12" s="1"/>
  <c r="L46" i="12" s="1"/>
  <c r="L47" i="12" s="1"/>
  <c r="L48" i="12" s="1"/>
  <c r="L49" i="12" s="1"/>
  <c r="L50" i="12" s="1"/>
  <c r="L51" i="12" s="1"/>
  <c r="L52" i="12" s="1"/>
  <c r="L53" i="12" s="1"/>
  <c r="L54" i="12" s="1"/>
  <c r="L55" i="12" s="1"/>
  <c r="G39" i="12"/>
  <c r="G40" i="12" s="1"/>
  <c r="G41" i="12" s="1"/>
  <c r="G42" i="12" s="1"/>
  <c r="G43" i="12" s="1"/>
  <c r="G44" i="12" s="1"/>
  <c r="G45" i="12" s="1"/>
  <c r="G46" i="12" s="1"/>
  <c r="G47" i="12" s="1"/>
  <c r="G48" i="12" s="1"/>
  <c r="G49" i="12" s="1"/>
  <c r="G50" i="12" s="1"/>
  <c r="G51" i="12" s="1"/>
  <c r="G52" i="12" s="1"/>
  <c r="G53" i="12" s="1"/>
  <c r="G54" i="12" s="1"/>
  <c r="G55" i="12" s="1"/>
  <c r="B38" i="12"/>
  <c r="E25" i="11"/>
  <c r="E39" i="12" s="1"/>
  <c r="F39" i="12" s="1"/>
  <c r="E26" i="11"/>
  <c r="E40" i="12" s="1"/>
  <c r="F40" i="12" s="1"/>
  <c r="E27" i="11"/>
  <c r="E41" i="12" s="1"/>
  <c r="F41" i="12" s="1"/>
  <c r="E28" i="11"/>
  <c r="E42" i="12" s="1"/>
  <c r="F42" i="12" s="1"/>
  <c r="E29" i="11"/>
  <c r="E43" i="12" s="1"/>
  <c r="F43" i="12" s="1"/>
  <c r="E30" i="11"/>
  <c r="E44" i="12" s="1"/>
  <c r="F44" i="12" s="1"/>
  <c r="E31" i="11"/>
  <c r="E45" i="12" s="1"/>
  <c r="F45" i="12" s="1"/>
  <c r="E32" i="11"/>
  <c r="E46" i="12" s="1"/>
  <c r="F46" i="12" s="1"/>
  <c r="E33" i="11"/>
  <c r="E47" i="12" s="1"/>
  <c r="F47" i="12" s="1"/>
  <c r="E34" i="11"/>
  <c r="E48" i="12" s="1"/>
  <c r="F48" i="12" s="1"/>
  <c r="E35" i="11"/>
  <c r="E49" i="12" s="1"/>
  <c r="F49" i="12" s="1"/>
  <c r="E36" i="11"/>
  <c r="E50" i="12" s="1"/>
  <c r="F50" i="12" s="1"/>
  <c r="E37" i="11"/>
  <c r="E51" i="12" s="1"/>
  <c r="F51" i="12" s="1"/>
  <c r="E38" i="11"/>
  <c r="E52" i="12" s="1"/>
  <c r="F52" i="12" s="1"/>
  <c r="E39" i="11"/>
  <c r="E53" i="12" s="1"/>
  <c r="F53" i="12" s="1"/>
  <c r="E40" i="11"/>
  <c r="E54" i="12" s="1"/>
  <c r="F54" i="12" s="1"/>
  <c r="E41" i="11"/>
  <c r="E55" i="12" s="1"/>
  <c r="F55" i="12" s="1"/>
  <c r="E42" i="11"/>
  <c r="J38" i="12" s="1"/>
  <c r="K38" i="12" s="1"/>
  <c r="E43" i="11"/>
  <c r="J39" i="12" s="1"/>
  <c r="K39" i="12" s="1"/>
  <c r="E44" i="11"/>
  <c r="J40" i="12" s="1"/>
  <c r="K40" i="12" s="1"/>
  <c r="E45" i="11"/>
  <c r="J41" i="12" s="1"/>
  <c r="K41" i="12" s="1"/>
  <c r="E46" i="11"/>
  <c r="J42" i="12" s="1"/>
  <c r="K42" i="12" s="1"/>
  <c r="E47" i="11"/>
  <c r="J43" i="12" s="1"/>
  <c r="K43" i="12" s="1"/>
  <c r="E48" i="11"/>
  <c r="J44" i="12" s="1"/>
  <c r="K44" i="12" s="1"/>
  <c r="E49" i="11"/>
  <c r="J45" i="12" s="1"/>
  <c r="K45" i="12" s="1"/>
  <c r="E50" i="11"/>
  <c r="J46" i="12" s="1"/>
  <c r="K46" i="12" s="1"/>
  <c r="E51" i="11"/>
  <c r="J47" i="12" s="1"/>
  <c r="K47" i="12" s="1"/>
  <c r="E52" i="11"/>
  <c r="J48" i="12" s="1"/>
  <c r="K48" i="12" s="1"/>
  <c r="E53" i="11"/>
  <c r="J49" i="12" s="1"/>
  <c r="K49" i="12" s="1"/>
  <c r="E54" i="11"/>
  <c r="J50" i="12" s="1"/>
  <c r="K50" i="12" s="1"/>
  <c r="E55" i="11"/>
  <c r="J51" i="12" s="1"/>
  <c r="K51" i="12" s="1"/>
  <c r="E56" i="11"/>
  <c r="J52" i="12" s="1"/>
  <c r="K52" i="12" s="1"/>
  <c r="E57" i="11"/>
  <c r="J53" i="12" s="1"/>
  <c r="K53" i="12" s="1"/>
  <c r="E58" i="11"/>
  <c r="J54" i="12" s="1"/>
  <c r="K54" i="12" s="1"/>
  <c r="E59" i="11"/>
  <c r="J55" i="12" s="1"/>
  <c r="K55" i="12" s="1"/>
  <c r="E60" i="11"/>
  <c r="O38" i="12" s="1"/>
  <c r="P38" i="12" s="1"/>
  <c r="E61" i="11"/>
  <c r="O39" i="12" s="1"/>
  <c r="P39" i="12" s="1"/>
  <c r="E62" i="11"/>
  <c r="O40" i="12" s="1"/>
  <c r="P40" i="12" s="1"/>
  <c r="E63" i="11"/>
  <c r="O41" i="12" s="1"/>
  <c r="P41" i="12" s="1"/>
  <c r="E64" i="11"/>
  <c r="O42" i="12" s="1"/>
  <c r="P42" i="12" s="1"/>
  <c r="E65" i="11"/>
  <c r="O43" i="12" s="1"/>
  <c r="P43" i="12" s="1"/>
  <c r="E66" i="11"/>
  <c r="O44" i="12" s="1"/>
  <c r="P44" i="12" s="1"/>
  <c r="E67" i="11"/>
  <c r="O45" i="12" s="1"/>
  <c r="P45" i="12" s="1"/>
  <c r="E68" i="11"/>
  <c r="O46" i="12" s="1"/>
  <c r="P46" i="12" s="1"/>
  <c r="E69" i="11"/>
  <c r="O47" i="12" s="1"/>
  <c r="P47" i="12" s="1"/>
  <c r="E70" i="11"/>
  <c r="O48" i="12" s="1"/>
  <c r="P48" i="12" s="1"/>
  <c r="E71" i="11"/>
  <c r="O49" i="12" s="1"/>
  <c r="P49" i="12" s="1"/>
  <c r="E72" i="11"/>
  <c r="O50" i="12" s="1"/>
  <c r="P50" i="12" s="1"/>
  <c r="E73" i="11"/>
  <c r="O51" i="12" s="1"/>
  <c r="P51" i="12" s="1"/>
  <c r="E74" i="11"/>
  <c r="O52" i="12" s="1"/>
  <c r="P52" i="12" s="1"/>
  <c r="E75" i="11"/>
  <c r="O53" i="12" s="1"/>
  <c r="P53" i="12" s="1"/>
  <c r="E76" i="11"/>
  <c r="O54" i="12" s="1"/>
  <c r="P54" i="12" s="1"/>
  <c r="E77" i="11"/>
  <c r="O55" i="12" s="1"/>
  <c r="P55" i="12" s="1"/>
  <c r="E78" i="11"/>
  <c r="T38" i="12" s="1"/>
  <c r="U38" i="12" s="1"/>
  <c r="E79" i="11"/>
  <c r="T39" i="12" s="1"/>
  <c r="U39" i="12" s="1"/>
  <c r="E80" i="11"/>
  <c r="T40" i="12" s="1"/>
  <c r="U40" i="12" s="1"/>
  <c r="E81" i="11"/>
  <c r="T41" i="12" s="1"/>
  <c r="U41" i="12" s="1"/>
  <c r="E82" i="11"/>
  <c r="T42" i="12" s="1"/>
  <c r="U42" i="12" s="1"/>
  <c r="E83" i="11"/>
  <c r="T43" i="12" s="1"/>
  <c r="U43" i="12" s="1"/>
  <c r="E84" i="11"/>
  <c r="T44" i="12" s="1"/>
  <c r="U44" i="12" s="1"/>
  <c r="E85" i="11"/>
  <c r="T45" i="12" s="1"/>
  <c r="U45" i="12" s="1"/>
  <c r="E86" i="11"/>
  <c r="T46" i="12" s="1"/>
  <c r="U46" i="12" s="1"/>
  <c r="E87" i="11"/>
  <c r="T47" i="12" s="1"/>
  <c r="U47" i="12" s="1"/>
  <c r="E88" i="11"/>
  <c r="T48" i="12" s="1"/>
  <c r="U48" i="12" s="1"/>
  <c r="E89" i="11"/>
  <c r="T49" i="12" s="1"/>
  <c r="U49" i="12" s="1"/>
  <c r="E90" i="11"/>
  <c r="T50" i="12" s="1"/>
  <c r="U50" i="12" s="1"/>
  <c r="E91" i="11"/>
  <c r="E92" i="11"/>
  <c r="T52" i="12" s="1"/>
  <c r="U52" i="12" s="1"/>
  <c r="E93" i="11"/>
  <c r="T53" i="12" s="1"/>
  <c r="U53" i="12" s="1"/>
  <c r="E94" i="11"/>
  <c r="T54" i="12" s="1"/>
  <c r="U54" i="12" s="1"/>
  <c r="E24" i="11"/>
  <c r="E38" i="12" s="1"/>
  <c r="F38" i="12" s="1"/>
  <c r="B25" i="1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Q121" i="10"/>
  <c r="Q120" i="10"/>
  <c r="Q119" i="10"/>
  <c r="L128" i="10" s="1"/>
  <c r="L97" i="10" a="1"/>
  <c r="L97" i="10" s="1"/>
  <c r="L95" i="10" a="1"/>
  <c r="L95" i="10" s="1"/>
  <c r="D89" i="10"/>
  <c r="T40" i="10"/>
  <c r="U40" i="10" s="1"/>
  <c r="T43" i="10"/>
  <c r="U43" i="10" s="1"/>
  <c r="T51" i="10"/>
  <c r="U51" i="10" s="1"/>
  <c r="T52" i="10"/>
  <c r="U52" i="10" s="1"/>
  <c r="O45" i="10"/>
  <c r="P45" i="10" s="1"/>
  <c r="O48" i="10"/>
  <c r="P48" i="10" s="1"/>
  <c r="S39" i="10"/>
  <c r="S40" i="10"/>
  <c r="S41" i="10"/>
  <c r="S42" i="10"/>
  <c r="S43" i="10"/>
  <c r="S44" i="10"/>
  <c r="S45" i="10"/>
  <c r="S46" i="10"/>
  <c r="S47" i="10"/>
  <c r="S48" i="10"/>
  <c r="S49" i="10"/>
  <c r="S50" i="10"/>
  <c r="S51" i="10"/>
  <c r="S52" i="10"/>
  <c r="S53" i="10"/>
  <c r="S54" i="10"/>
  <c r="S55" i="10"/>
  <c r="S56" i="10"/>
  <c r="S38" i="10"/>
  <c r="N39" i="10"/>
  <c r="N40" i="10"/>
  <c r="N41" i="10"/>
  <c r="N42" i="10"/>
  <c r="N43" i="10"/>
  <c r="N44" i="10"/>
  <c r="N45" i="10"/>
  <c r="N46" i="10"/>
  <c r="N47" i="10"/>
  <c r="N48" i="10"/>
  <c r="N49" i="10"/>
  <c r="N50" i="10"/>
  <c r="N51" i="10"/>
  <c r="N52" i="10"/>
  <c r="N53" i="10"/>
  <c r="N54" i="10"/>
  <c r="N55" i="10"/>
  <c r="N56" i="10"/>
  <c r="N57" i="10"/>
  <c r="N58" i="10"/>
  <c r="N59" i="10"/>
  <c r="N38" i="10"/>
  <c r="I39" i="10"/>
  <c r="I40" i="10"/>
  <c r="I41" i="10"/>
  <c r="I42" i="10"/>
  <c r="I43" i="10"/>
  <c r="I44" i="10"/>
  <c r="I45" i="10"/>
  <c r="I46" i="10"/>
  <c r="I47" i="10"/>
  <c r="I48" i="10"/>
  <c r="I49" i="10"/>
  <c r="I50" i="10"/>
  <c r="I51" i="10"/>
  <c r="I52" i="10"/>
  <c r="I53" i="10"/>
  <c r="I54" i="10"/>
  <c r="I55" i="10"/>
  <c r="I56" i="10"/>
  <c r="I57" i="10"/>
  <c r="I58" i="10"/>
  <c r="I59" i="10"/>
  <c r="I38" i="10"/>
  <c r="D39" i="10"/>
  <c r="D40" i="10"/>
  <c r="D41" i="10"/>
  <c r="D42" i="10"/>
  <c r="D43" i="10"/>
  <c r="D44" i="10"/>
  <c r="D45" i="10"/>
  <c r="D46" i="10"/>
  <c r="D47" i="10"/>
  <c r="D48" i="10"/>
  <c r="D49" i="10"/>
  <c r="D50" i="10"/>
  <c r="D51" i="10"/>
  <c r="D52" i="10"/>
  <c r="D53" i="10"/>
  <c r="D54" i="10"/>
  <c r="D55" i="10"/>
  <c r="D56" i="10"/>
  <c r="D57" i="10"/>
  <c r="D58" i="10"/>
  <c r="D59" i="10"/>
  <c r="D38" i="10"/>
  <c r="M39" i="10"/>
  <c r="M38" i="10"/>
  <c r="H39" i="10"/>
  <c r="H40" i="10"/>
  <c r="H41" i="10"/>
  <c r="H42" i="10"/>
  <c r="H43" i="10"/>
  <c r="H44" i="10"/>
  <c r="H45" i="10"/>
  <c r="H46" i="10"/>
  <c r="H47" i="10"/>
  <c r="H48" i="10"/>
  <c r="H49" i="10"/>
  <c r="H50" i="10"/>
  <c r="H51" i="10"/>
  <c r="H52" i="10"/>
  <c r="H53" i="10"/>
  <c r="H54" i="10"/>
  <c r="H55" i="10"/>
  <c r="H56" i="10"/>
  <c r="H57" i="10"/>
  <c r="H58" i="10"/>
  <c r="H59" i="10"/>
  <c r="H38" i="10"/>
  <c r="C39" i="10"/>
  <c r="C40" i="10"/>
  <c r="C41" i="10"/>
  <c r="C42" i="10"/>
  <c r="C43" i="10"/>
  <c r="C44" i="10"/>
  <c r="C45" i="10"/>
  <c r="C46" i="10"/>
  <c r="C47" i="10"/>
  <c r="C48" i="10"/>
  <c r="C49" i="10"/>
  <c r="C50" i="10"/>
  <c r="C51" i="10"/>
  <c r="C52" i="10"/>
  <c r="C53" i="10"/>
  <c r="C54" i="10"/>
  <c r="C55" i="10"/>
  <c r="C56" i="10"/>
  <c r="C57" i="10"/>
  <c r="C58" i="10"/>
  <c r="C59" i="10"/>
  <c r="C38" i="10"/>
  <c r="Q39" i="10"/>
  <c r="Q40" i="10" s="1"/>
  <c r="Q41" i="10" s="1"/>
  <c r="Q42" i="10" s="1"/>
  <c r="Q43" i="10" s="1"/>
  <c r="Q44" i="10" s="1"/>
  <c r="Q45" i="10" s="1"/>
  <c r="Q46" i="10" s="1"/>
  <c r="Q47" i="10" s="1"/>
  <c r="Q48" i="10" s="1"/>
  <c r="Q49" i="10" s="1"/>
  <c r="Q50" i="10" s="1"/>
  <c r="Q51" i="10" s="1"/>
  <c r="Q52" i="10" s="1"/>
  <c r="Q53" i="10" s="1"/>
  <c r="Q54" i="10" s="1"/>
  <c r="Q55" i="10" s="1"/>
  <c r="Q56" i="10" s="1"/>
  <c r="L39" i="10"/>
  <c r="L40" i="10" s="1"/>
  <c r="L41" i="10" s="1"/>
  <c r="L42" i="10" s="1"/>
  <c r="L43" i="10" s="1"/>
  <c r="L44" i="10" s="1"/>
  <c r="L45" i="10" s="1"/>
  <c r="L46" i="10" s="1"/>
  <c r="L47" i="10" s="1"/>
  <c r="L48" i="10" s="1"/>
  <c r="L49" i="10" s="1"/>
  <c r="L50" i="10" s="1"/>
  <c r="L51" i="10" s="1"/>
  <c r="L52" i="10" s="1"/>
  <c r="L53" i="10" s="1"/>
  <c r="L54" i="10" s="1"/>
  <c r="L55" i="10" s="1"/>
  <c r="L56" i="10" s="1"/>
  <c r="L57" i="10" s="1"/>
  <c r="L58" i="10" s="1"/>
  <c r="L59" i="10" s="1"/>
  <c r="G39" i="10"/>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D13" i="10"/>
  <c r="I124" i="10" s="1"/>
  <c r="E10" i="10"/>
  <c r="E11" i="10"/>
  <c r="C377" i="17" s="1"/>
  <c r="D182" i="10"/>
  <c r="D181" i="10"/>
  <c r="D180" i="10"/>
  <c r="D179" i="10"/>
  <c r="D178" i="10"/>
  <c r="D177" i="10"/>
  <c r="D176" i="10"/>
  <c r="D172" i="10"/>
  <c r="D171" i="10"/>
  <c r="D170" i="10"/>
  <c r="D169" i="10"/>
  <c r="D168" i="10"/>
  <c r="D167" i="10"/>
  <c r="D166" i="10"/>
  <c r="D152" i="10"/>
  <c r="D151" i="10"/>
  <c r="D150" i="10"/>
  <c r="D149" i="10"/>
  <c r="D148" i="10"/>
  <c r="D147" i="10"/>
  <c r="D146" i="10"/>
  <c r="D141" i="10"/>
  <c r="B38" i="10"/>
  <c r="E108" i="9"/>
  <c r="T56" i="10" s="1"/>
  <c r="U56" i="10" s="1"/>
  <c r="E107" i="9"/>
  <c r="T55" i="10" s="1"/>
  <c r="U55" i="10" s="1"/>
  <c r="E106" i="9"/>
  <c r="T54" i="10" s="1"/>
  <c r="U54" i="10" s="1"/>
  <c r="E105" i="9"/>
  <c r="T53" i="10" s="1"/>
  <c r="U53" i="10" s="1"/>
  <c r="E104" i="9"/>
  <c r="E103" i="9"/>
  <c r="E102" i="9"/>
  <c r="T50" i="10" s="1"/>
  <c r="U50" i="10" s="1"/>
  <c r="E101" i="9"/>
  <c r="T49" i="10" s="1"/>
  <c r="U49" i="10" s="1"/>
  <c r="E100" i="9"/>
  <c r="T48" i="10" s="1"/>
  <c r="U48" i="10" s="1"/>
  <c r="E99" i="9"/>
  <c r="T47" i="10" s="1"/>
  <c r="U47" i="10" s="1"/>
  <c r="E98" i="9"/>
  <c r="T46" i="10" s="1"/>
  <c r="U46" i="10" s="1"/>
  <c r="E97" i="9"/>
  <c r="T45" i="10" s="1"/>
  <c r="U45" i="10" s="1"/>
  <c r="E96" i="9"/>
  <c r="T44" i="10" s="1"/>
  <c r="U44" i="10" s="1"/>
  <c r="E95" i="9"/>
  <c r="E94" i="9"/>
  <c r="T42" i="10" s="1"/>
  <c r="U42" i="10" s="1"/>
  <c r="E93" i="9"/>
  <c r="T41" i="10" s="1"/>
  <c r="U41" i="10" s="1"/>
  <c r="E92" i="9"/>
  <c r="E91" i="9"/>
  <c r="T39" i="10" s="1"/>
  <c r="U39" i="10" s="1"/>
  <c r="E90" i="9"/>
  <c r="T38" i="10" s="1"/>
  <c r="U38" i="10" s="1"/>
  <c r="E89" i="9"/>
  <c r="O59" i="10" s="1"/>
  <c r="P59" i="10" s="1"/>
  <c r="E88" i="9"/>
  <c r="O58" i="10" s="1"/>
  <c r="P58" i="10" s="1"/>
  <c r="E87" i="9"/>
  <c r="O57" i="10" s="1"/>
  <c r="P57" i="10" s="1"/>
  <c r="E86" i="9"/>
  <c r="O56" i="10" s="1"/>
  <c r="P56" i="10" s="1"/>
  <c r="E85" i="9"/>
  <c r="O55" i="10" s="1"/>
  <c r="P55" i="10" s="1"/>
  <c r="E84" i="9"/>
  <c r="O54" i="10" s="1"/>
  <c r="P54" i="10" s="1"/>
  <c r="E83" i="9"/>
  <c r="O53" i="10" s="1"/>
  <c r="P53" i="10" s="1"/>
  <c r="E82" i="9"/>
  <c r="O52" i="10" s="1"/>
  <c r="P52" i="10" s="1"/>
  <c r="E81" i="9"/>
  <c r="O51" i="10" s="1"/>
  <c r="P51" i="10" s="1"/>
  <c r="E80" i="9"/>
  <c r="O50" i="10" s="1"/>
  <c r="P50" i="10" s="1"/>
  <c r="E79" i="9"/>
  <c r="O49" i="10" s="1"/>
  <c r="P49" i="10" s="1"/>
  <c r="E78" i="9"/>
  <c r="E77" i="9"/>
  <c r="O47" i="10" s="1"/>
  <c r="P47" i="10" s="1"/>
  <c r="E76" i="9"/>
  <c r="O46" i="10" s="1"/>
  <c r="P46" i="10" s="1"/>
  <c r="E75" i="9"/>
  <c r="E74" i="9"/>
  <c r="O44" i="10" s="1"/>
  <c r="P44" i="10" s="1"/>
  <c r="E73" i="9"/>
  <c r="O43" i="10" s="1"/>
  <c r="P43" i="10" s="1"/>
  <c r="E72" i="9"/>
  <c r="O42" i="10" s="1"/>
  <c r="P42" i="10" s="1"/>
  <c r="E71" i="9"/>
  <c r="O41" i="10" s="1"/>
  <c r="P41" i="10" s="1"/>
  <c r="E70" i="9"/>
  <c r="O40" i="10" s="1"/>
  <c r="P40" i="10" s="1"/>
  <c r="C70" i="9"/>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E69" i="9"/>
  <c r="O39" i="10" s="1"/>
  <c r="P39" i="10" s="1"/>
  <c r="E68" i="9"/>
  <c r="O38" i="10" s="1"/>
  <c r="P38" i="10" s="1"/>
  <c r="E67" i="9"/>
  <c r="J59" i="10" s="1"/>
  <c r="K59" i="10" s="1"/>
  <c r="E66" i="9"/>
  <c r="J58" i="10" s="1"/>
  <c r="K58" i="10" s="1"/>
  <c r="E65" i="9"/>
  <c r="J57" i="10" s="1"/>
  <c r="K57" i="10" s="1"/>
  <c r="E64" i="9"/>
  <c r="J56" i="10" s="1"/>
  <c r="K56" i="10" s="1"/>
  <c r="E63" i="9"/>
  <c r="J55" i="10" s="1"/>
  <c r="K55" i="10" s="1"/>
  <c r="E62" i="9"/>
  <c r="J54" i="10" s="1"/>
  <c r="K54" i="10" s="1"/>
  <c r="E61" i="9"/>
  <c r="J53" i="10" s="1"/>
  <c r="K53" i="10" s="1"/>
  <c r="E60" i="9"/>
  <c r="J52" i="10" s="1"/>
  <c r="K52" i="10" s="1"/>
  <c r="E59" i="9"/>
  <c r="J51" i="10" s="1"/>
  <c r="K51" i="10" s="1"/>
  <c r="E58" i="9"/>
  <c r="J50" i="10" s="1"/>
  <c r="K50" i="10" s="1"/>
  <c r="E57" i="9"/>
  <c r="J49" i="10" s="1"/>
  <c r="K49" i="10" s="1"/>
  <c r="E56" i="9"/>
  <c r="J48" i="10" s="1"/>
  <c r="K48" i="10" s="1"/>
  <c r="E55" i="9"/>
  <c r="J47" i="10" s="1"/>
  <c r="K47" i="10" s="1"/>
  <c r="E54" i="9"/>
  <c r="J46" i="10" s="1"/>
  <c r="K46" i="10" s="1"/>
  <c r="E53" i="9"/>
  <c r="J45" i="10" s="1"/>
  <c r="K45" i="10" s="1"/>
  <c r="E52" i="9"/>
  <c r="J44" i="10" s="1"/>
  <c r="K44" i="10" s="1"/>
  <c r="E51" i="9"/>
  <c r="J43" i="10" s="1"/>
  <c r="K43" i="10" s="1"/>
  <c r="E50" i="9"/>
  <c r="J42" i="10" s="1"/>
  <c r="K42" i="10" s="1"/>
  <c r="E49" i="9"/>
  <c r="J41" i="10" s="1"/>
  <c r="K41" i="10" s="1"/>
  <c r="E48" i="9"/>
  <c r="J40" i="10" s="1"/>
  <c r="K40" i="10" s="1"/>
  <c r="E47" i="9"/>
  <c r="J39" i="10" s="1"/>
  <c r="K39" i="10" s="1"/>
  <c r="E46" i="9"/>
  <c r="J38" i="10" s="1"/>
  <c r="K38" i="10" s="1"/>
  <c r="E45" i="9"/>
  <c r="E59" i="10" s="1"/>
  <c r="F59" i="10" s="1"/>
  <c r="E44" i="9"/>
  <c r="E58" i="10" s="1"/>
  <c r="F58" i="10" s="1"/>
  <c r="E43" i="9"/>
  <c r="E57" i="10" s="1"/>
  <c r="F57" i="10" s="1"/>
  <c r="E42" i="9"/>
  <c r="E56" i="10" s="1"/>
  <c r="F56" i="10" s="1"/>
  <c r="E41" i="9"/>
  <c r="E55" i="10" s="1"/>
  <c r="F55" i="10" s="1"/>
  <c r="E40" i="9"/>
  <c r="E54" i="10" s="1"/>
  <c r="F54" i="10" s="1"/>
  <c r="E39" i="9"/>
  <c r="E53" i="10" s="1"/>
  <c r="F53" i="10" s="1"/>
  <c r="E38" i="9"/>
  <c r="E52" i="10" s="1"/>
  <c r="F52" i="10" s="1"/>
  <c r="E37" i="9"/>
  <c r="E51" i="10" s="1"/>
  <c r="F51" i="10" s="1"/>
  <c r="E36" i="9"/>
  <c r="E50" i="10" s="1"/>
  <c r="F50" i="10" s="1"/>
  <c r="E35" i="9"/>
  <c r="E49" i="10" s="1"/>
  <c r="F49" i="10" s="1"/>
  <c r="E34" i="9"/>
  <c r="E48" i="10" s="1"/>
  <c r="F48" i="10" s="1"/>
  <c r="E33" i="9"/>
  <c r="E47" i="10" s="1"/>
  <c r="F47" i="10" s="1"/>
  <c r="E32" i="9"/>
  <c r="E46" i="10" s="1"/>
  <c r="F46" i="10" s="1"/>
  <c r="E31" i="9"/>
  <c r="E45" i="10" s="1"/>
  <c r="F45" i="10" s="1"/>
  <c r="E30" i="9"/>
  <c r="E44" i="10" s="1"/>
  <c r="F44" i="10" s="1"/>
  <c r="E29" i="9"/>
  <c r="E43" i="10" s="1"/>
  <c r="F43" i="10" s="1"/>
  <c r="E28" i="9"/>
  <c r="E42" i="10" s="1"/>
  <c r="F42" i="10" s="1"/>
  <c r="E27" i="9"/>
  <c r="E41" i="10" s="1"/>
  <c r="F41" i="10" s="1"/>
  <c r="E26" i="9"/>
  <c r="E40" i="10" s="1"/>
  <c r="F40" i="10" s="1"/>
  <c r="E25" i="9"/>
  <c r="E39" i="10" s="1"/>
  <c r="F39" i="10" s="1"/>
  <c r="E24" i="9"/>
  <c r="E38" i="10" s="1"/>
  <c r="F38" i="10" s="1"/>
  <c r="M47" i="10" l="1"/>
  <c r="R38" i="10"/>
  <c r="M46" i="10"/>
  <c r="M59" i="10"/>
  <c r="M51" i="10"/>
  <c r="M43" i="10"/>
  <c r="C93" i="9"/>
  <c r="D17" i="20"/>
  <c r="M111" i="20" s="1"/>
  <c r="J128" i="20" s="1"/>
  <c r="M55" i="10"/>
  <c r="M54" i="10"/>
  <c r="M58" i="10"/>
  <c r="M50" i="10"/>
  <c r="M42" i="10"/>
  <c r="J168" i="14"/>
  <c r="J187" i="16"/>
  <c r="E86" i="17" s="1"/>
  <c r="P223" i="17"/>
  <c r="P167" i="17"/>
  <c r="G223" i="17"/>
  <c r="G167" i="17"/>
  <c r="M312" i="17"/>
  <c r="M308" i="17"/>
  <c r="M311" i="17"/>
  <c r="M307" i="17"/>
  <c r="M310" i="17"/>
  <c r="M306" i="17"/>
  <c r="M309" i="17"/>
  <c r="J309" i="17"/>
  <c r="J312" i="17"/>
  <c r="J308" i="17"/>
  <c r="J311" i="17"/>
  <c r="J307" i="17"/>
  <c r="J310" i="17"/>
  <c r="J306" i="17"/>
  <c r="J223" i="17"/>
  <c r="J167" i="17"/>
  <c r="M223" i="17"/>
  <c r="M167" i="17"/>
  <c r="P310" i="17"/>
  <c r="P306" i="17"/>
  <c r="P309" i="17"/>
  <c r="P312" i="17"/>
  <c r="P308" i="17"/>
  <c r="P311" i="17"/>
  <c r="P307" i="17"/>
  <c r="G309" i="17"/>
  <c r="G312" i="17"/>
  <c r="G308" i="17"/>
  <c r="G311" i="17"/>
  <c r="G307" i="17"/>
  <c r="G310" i="17"/>
  <c r="G306" i="17"/>
  <c r="M57" i="10"/>
  <c r="M53" i="10"/>
  <c r="M49" i="10"/>
  <c r="M45" i="10"/>
  <c r="M41" i="10"/>
  <c r="R40" i="10"/>
  <c r="D17" i="10"/>
  <c r="M56" i="10"/>
  <c r="M52" i="10"/>
  <c r="M48" i="10"/>
  <c r="M44" i="10"/>
  <c r="M40" i="10"/>
  <c r="R39" i="10"/>
  <c r="G187" i="14"/>
  <c r="D84" i="17" s="1"/>
  <c r="D53" i="17"/>
  <c r="G188" i="14"/>
  <c r="F84" i="17" s="1"/>
  <c r="D20" i="17"/>
  <c r="L152" i="10"/>
  <c r="L146" i="10" s="1"/>
  <c r="K52" i="17" s="1"/>
  <c r="L130" i="10"/>
  <c r="L131" i="10" s="1"/>
  <c r="L129" i="10"/>
  <c r="L162" i="10" s="1"/>
  <c r="L161" i="10" s="1"/>
  <c r="N104" i="10"/>
  <c r="N62" i="10"/>
  <c r="F13" i="10"/>
  <c r="J157" i="14"/>
  <c r="J154" i="14"/>
  <c r="J152" i="14"/>
  <c r="J156" i="14"/>
  <c r="J153" i="14"/>
  <c r="J155" i="14"/>
  <c r="K125" i="14"/>
  <c r="K158" i="14" s="1"/>
  <c r="K126" i="14"/>
  <c r="G124" i="12"/>
  <c r="G126" i="12" s="1"/>
  <c r="G127" i="12" s="1"/>
  <c r="G158" i="12"/>
  <c r="G157" i="12" s="1"/>
  <c r="L124" i="12"/>
  <c r="L126" i="12" s="1"/>
  <c r="L127" i="12" s="1"/>
  <c r="L158" i="12"/>
  <c r="L157" i="12" s="1"/>
  <c r="N124" i="12"/>
  <c r="N126" i="12" s="1"/>
  <c r="N127" i="12" s="1"/>
  <c r="N158" i="12"/>
  <c r="N157" i="12" s="1"/>
  <c r="L155" i="12"/>
  <c r="F124" i="12"/>
  <c r="F126" i="12" s="1"/>
  <c r="F127" i="12" s="1"/>
  <c r="F158" i="12"/>
  <c r="F157" i="12" s="1"/>
  <c r="H124" i="12"/>
  <c r="H126" i="12" s="1"/>
  <c r="H127" i="12" s="1"/>
  <c r="H158" i="12"/>
  <c r="H157" i="12" s="1"/>
  <c r="M124" i="12"/>
  <c r="M126" i="12" s="1"/>
  <c r="M127" i="12" s="1"/>
  <c r="M158" i="12"/>
  <c r="M157" i="12" s="1"/>
  <c r="N100" i="12"/>
  <c r="Q100" i="12"/>
  <c r="N58" i="12"/>
  <c r="K174" i="16"/>
  <c r="K173" i="16"/>
  <c r="K177" i="16"/>
  <c r="K176" i="16"/>
  <c r="K172" i="16"/>
  <c r="K175" i="16"/>
  <c r="J165" i="16"/>
  <c r="J163" i="16"/>
  <c r="J167" i="16"/>
  <c r="J162" i="16"/>
  <c r="J164" i="16"/>
  <c r="J166" i="16"/>
  <c r="J144" i="16"/>
  <c r="J142" i="16"/>
  <c r="J146" i="16"/>
  <c r="J143" i="16"/>
  <c r="J145" i="16"/>
  <c r="J147" i="16"/>
  <c r="K167" i="16"/>
  <c r="K163" i="16"/>
  <c r="K164" i="16"/>
  <c r="K165" i="16"/>
  <c r="K162" i="16"/>
  <c r="K166" i="16"/>
  <c r="K144" i="16"/>
  <c r="K143" i="16"/>
  <c r="K147" i="16"/>
  <c r="K146" i="16"/>
  <c r="K142" i="16"/>
  <c r="K145" i="16"/>
  <c r="J174" i="16"/>
  <c r="J172" i="16"/>
  <c r="J176" i="16"/>
  <c r="J173" i="16"/>
  <c r="J175" i="16"/>
  <c r="J177" i="16"/>
  <c r="J165" i="14"/>
  <c r="J163" i="14"/>
  <c r="J167" i="14"/>
  <c r="J162" i="14"/>
  <c r="J164" i="14"/>
  <c r="J166" i="14"/>
  <c r="J144" i="14"/>
  <c r="J142" i="14"/>
  <c r="I53" i="17" s="1"/>
  <c r="J146" i="14"/>
  <c r="J143" i="14"/>
  <c r="J145" i="14"/>
  <c r="I20" i="17" s="1"/>
  <c r="J147" i="14"/>
  <c r="K145" i="14"/>
  <c r="J20" i="17" s="1"/>
  <c r="K142" i="14"/>
  <c r="J53" i="17" s="1"/>
  <c r="K144" i="14"/>
  <c r="K146" i="14"/>
  <c r="K147" i="14"/>
  <c r="K143" i="14"/>
  <c r="J174" i="14"/>
  <c r="J172" i="14"/>
  <c r="J176" i="14"/>
  <c r="J173" i="14"/>
  <c r="J175" i="14"/>
  <c r="J177" i="14"/>
  <c r="F13" i="12"/>
  <c r="D15" i="12" s="1"/>
  <c r="H20" i="2" s="1"/>
  <c r="I120" i="12"/>
  <c r="H128" i="10"/>
  <c r="N128" i="10"/>
  <c r="F128" i="10"/>
  <c r="D15" i="10"/>
  <c r="H19" i="2" s="1"/>
  <c r="M128" i="10"/>
  <c r="G128" i="10"/>
  <c r="L148" i="10"/>
  <c r="L150" i="10"/>
  <c r="L149" i="10"/>
  <c r="K19" i="17" s="1"/>
  <c r="L154" i="12" l="1"/>
  <c r="L152" i="12"/>
  <c r="N153" i="12"/>
  <c r="J130" i="20"/>
  <c r="J129" i="20"/>
  <c r="J162" i="20" s="1"/>
  <c r="J152" i="20"/>
  <c r="G152" i="12"/>
  <c r="C94" i="9"/>
  <c r="R41" i="10"/>
  <c r="N156" i="12"/>
  <c r="N152" i="12"/>
  <c r="G154" i="12"/>
  <c r="G153" i="12"/>
  <c r="G155" i="12"/>
  <c r="N154" i="12"/>
  <c r="G156" i="12"/>
  <c r="M228" i="17"/>
  <c r="M230" i="17"/>
  <c r="M225" i="17"/>
  <c r="M231" i="17"/>
  <c r="M226" i="17"/>
  <c r="M227" i="17"/>
  <c r="M229" i="17"/>
  <c r="J225" i="17"/>
  <c r="J228" i="17"/>
  <c r="J231" i="17"/>
  <c r="J227" i="17"/>
  <c r="J230" i="17"/>
  <c r="J226" i="17"/>
  <c r="J229" i="17"/>
  <c r="G228" i="17"/>
  <c r="G227" i="17"/>
  <c r="G225" i="17"/>
  <c r="G231" i="17"/>
  <c r="G230" i="17"/>
  <c r="G226" i="17"/>
  <c r="G229" i="17"/>
  <c r="P225" i="17"/>
  <c r="P231" i="17"/>
  <c r="P228" i="17"/>
  <c r="P230" i="17"/>
  <c r="P229" i="17"/>
  <c r="P227" i="17"/>
  <c r="P226" i="17"/>
  <c r="M170" i="17"/>
  <c r="M171" i="17"/>
  <c r="M174" i="17"/>
  <c r="M173" i="17"/>
  <c r="M172" i="17"/>
  <c r="M169" i="17"/>
  <c r="M175" i="17"/>
  <c r="J172" i="17"/>
  <c r="J173" i="17"/>
  <c r="J171" i="17"/>
  <c r="J170" i="17"/>
  <c r="J175" i="17"/>
  <c r="J169" i="17"/>
  <c r="J174" i="17"/>
  <c r="G173" i="17"/>
  <c r="G171" i="17"/>
  <c r="G172" i="17"/>
  <c r="G175" i="17"/>
  <c r="G169" i="17"/>
  <c r="G174" i="17"/>
  <c r="G170" i="17"/>
  <c r="P169" i="17"/>
  <c r="P175" i="17"/>
  <c r="P172" i="17"/>
  <c r="P174" i="17"/>
  <c r="P171" i="17"/>
  <c r="P173" i="17"/>
  <c r="P170" i="17"/>
  <c r="L153" i="12"/>
  <c r="G103" i="12"/>
  <c r="I125" i="12" s="1"/>
  <c r="I124" i="12" s="1"/>
  <c r="I126" i="12" s="1"/>
  <c r="I127" i="12" s="1"/>
  <c r="L156" i="12"/>
  <c r="F153" i="12"/>
  <c r="H154" i="12"/>
  <c r="M152" i="12"/>
  <c r="H155" i="12"/>
  <c r="H153" i="12"/>
  <c r="H156" i="12"/>
  <c r="L156" i="10"/>
  <c r="L158" i="10"/>
  <c r="L160" i="10"/>
  <c r="H21" i="2"/>
  <c r="H22" i="2"/>
  <c r="F155" i="12"/>
  <c r="F156" i="12"/>
  <c r="L157" i="10"/>
  <c r="L159" i="10"/>
  <c r="G130" i="10"/>
  <c r="G131" i="10" s="1"/>
  <c r="G182" i="10" s="1"/>
  <c r="G129" i="10"/>
  <c r="G162" i="10" s="1"/>
  <c r="N130" i="10"/>
  <c r="N131" i="10" s="1"/>
  <c r="N129" i="10"/>
  <c r="N162" i="10" s="1"/>
  <c r="H130" i="10"/>
  <c r="H131" i="10" s="1"/>
  <c r="H182" i="10" s="1"/>
  <c r="H129" i="10"/>
  <c r="H162" i="10" s="1"/>
  <c r="M130" i="10"/>
  <c r="M131" i="10" s="1"/>
  <c r="M129" i="10"/>
  <c r="M162" i="10" s="1"/>
  <c r="F130" i="10"/>
  <c r="F131" i="10" s="1"/>
  <c r="F182" i="10" s="1"/>
  <c r="F129" i="10"/>
  <c r="F162" i="10" s="1"/>
  <c r="L151" i="10"/>
  <c r="L147" i="10"/>
  <c r="G65" i="10"/>
  <c r="M152" i="10"/>
  <c r="M151" i="10" s="1"/>
  <c r="F152" i="10"/>
  <c r="F146" i="10" s="1"/>
  <c r="E52" i="17" s="1"/>
  <c r="N152" i="10"/>
  <c r="N147" i="10" s="1"/>
  <c r="N182" i="10"/>
  <c r="N181" i="10" s="1"/>
  <c r="N172" i="10"/>
  <c r="K157" i="14"/>
  <c r="K152" i="14"/>
  <c r="K156" i="14"/>
  <c r="K153" i="14"/>
  <c r="K154" i="14"/>
  <c r="K155" i="14"/>
  <c r="K127" i="14"/>
  <c r="K178" i="14" s="1"/>
  <c r="K168" i="14"/>
  <c r="M153" i="12"/>
  <c r="F152" i="12"/>
  <c r="M155" i="12"/>
  <c r="F154" i="12"/>
  <c r="H152" i="12"/>
  <c r="N155" i="12"/>
  <c r="M154" i="12"/>
  <c r="M156" i="12"/>
  <c r="H152" i="10"/>
  <c r="G152" i="10"/>
  <c r="G149" i="10" s="1"/>
  <c r="F19" i="17" s="1"/>
  <c r="G61" i="12"/>
  <c r="E125" i="12" s="1"/>
  <c r="M148" i="12"/>
  <c r="M178" i="12"/>
  <c r="M168" i="12"/>
  <c r="N148" i="12"/>
  <c r="N178" i="12"/>
  <c r="N168" i="12"/>
  <c r="F148" i="12"/>
  <c r="F178" i="12"/>
  <c r="F168" i="12"/>
  <c r="K76" i="12"/>
  <c r="G148" i="12"/>
  <c r="G178" i="12"/>
  <c r="G168" i="12"/>
  <c r="H148" i="12"/>
  <c r="H178" i="12"/>
  <c r="H168" i="12"/>
  <c r="L148" i="12"/>
  <c r="L178" i="12"/>
  <c r="L168" i="12"/>
  <c r="L182" i="10"/>
  <c r="L172" i="10"/>
  <c r="E128" i="10"/>
  <c r="F113" i="10"/>
  <c r="I80" i="10"/>
  <c r="M111" i="10"/>
  <c r="M182" i="10"/>
  <c r="M172" i="10"/>
  <c r="N180" i="10"/>
  <c r="M146" i="10"/>
  <c r="L52" i="17" s="1"/>
  <c r="J148" i="20" l="1"/>
  <c r="J147" i="20"/>
  <c r="J150" i="20"/>
  <c r="J149" i="20"/>
  <c r="J151" i="20"/>
  <c r="G151" i="10"/>
  <c r="F150" i="10"/>
  <c r="I158" i="12"/>
  <c r="I155" i="12" s="1"/>
  <c r="J160" i="20"/>
  <c r="J161" i="20"/>
  <c r="J158" i="20"/>
  <c r="J156" i="20"/>
  <c r="J157" i="20"/>
  <c r="J159" i="20"/>
  <c r="F147" i="10"/>
  <c r="F172" i="10"/>
  <c r="F171" i="10" s="1"/>
  <c r="C95" i="9"/>
  <c r="R42" i="10"/>
  <c r="J172" i="20"/>
  <c r="J131" i="20"/>
  <c r="J182" i="20" s="1"/>
  <c r="N176" i="10"/>
  <c r="M149" i="10"/>
  <c r="L19" i="17" s="1"/>
  <c r="G148" i="10"/>
  <c r="G146" i="10"/>
  <c r="F52" i="17" s="1"/>
  <c r="G172" i="10"/>
  <c r="G168" i="10" s="1"/>
  <c r="F377" i="17" s="1"/>
  <c r="F148" i="10"/>
  <c r="F151" i="10"/>
  <c r="G150" i="10"/>
  <c r="G147" i="10"/>
  <c r="F149" i="10"/>
  <c r="E19" i="17" s="1"/>
  <c r="H172" i="10"/>
  <c r="H169" i="10" s="1"/>
  <c r="F178" i="10"/>
  <c r="F180" i="10"/>
  <c r="F160" i="10"/>
  <c r="F158" i="10"/>
  <c r="F156" i="10"/>
  <c r="F161" i="10"/>
  <c r="F159" i="10"/>
  <c r="F157" i="10"/>
  <c r="M161" i="10"/>
  <c r="M159" i="10"/>
  <c r="M157" i="10"/>
  <c r="M156" i="10"/>
  <c r="M160" i="10"/>
  <c r="M158" i="10"/>
  <c r="H161" i="10"/>
  <c r="H159" i="10"/>
  <c r="H157" i="10"/>
  <c r="H160" i="10"/>
  <c r="H158" i="10"/>
  <c r="H156" i="10"/>
  <c r="N160" i="10"/>
  <c r="N158" i="10"/>
  <c r="N156" i="10"/>
  <c r="N161" i="10"/>
  <c r="N159" i="10"/>
  <c r="N157" i="10"/>
  <c r="G160" i="10"/>
  <c r="G158" i="10"/>
  <c r="G161" i="10"/>
  <c r="G159" i="10"/>
  <c r="G157" i="10"/>
  <c r="G156" i="10"/>
  <c r="J113" i="10"/>
  <c r="M113" i="10"/>
  <c r="M147" i="10"/>
  <c r="K80" i="10"/>
  <c r="I81" i="10"/>
  <c r="K81" i="10" s="1"/>
  <c r="I82" i="10"/>
  <c r="I83" i="10" s="1"/>
  <c r="K83" i="10" s="1"/>
  <c r="E130" i="10"/>
  <c r="E131" i="10" s="1"/>
  <c r="E182" i="10" s="1"/>
  <c r="E129" i="10"/>
  <c r="E162" i="10" s="1"/>
  <c r="E152" i="10"/>
  <c r="N168" i="10"/>
  <c r="N171" i="10"/>
  <c r="N166" i="10"/>
  <c r="N170" i="10"/>
  <c r="N167" i="10"/>
  <c r="N169" i="10"/>
  <c r="N149" i="10"/>
  <c r="M19" i="17" s="1"/>
  <c r="N151" i="10"/>
  <c r="N148" i="10"/>
  <c r="N146" i="10"/>
  <c r="M52" i="17" s="1"/>
  <c r="N150" i="10"/>
  <c r="F176" i="10"/>
  <c r="F179" i="10"/>
  <c r="F177" i="10"/>
  <c r="F181" i="10"/>
  <c r="M150" i="10"/>
  <c r="M148" i="10"/>
  <c r="N179" i="10"/>
  <c r="N178" i="10"/>
  <c r="N177" i="10"/>
  <c r="F169" i="10"/>
  <c r="F168" i="10"/>
  <c r="K177" i="14"/>
  <c r="K175" i="14"/>
  <c r="K174" i="14"/>
  <c r="K173" i="14"/>
  <c r="K172" i="14"/>
  <c r="K176" i="14"/>
  <c r="K164" i="14"/>
  <c r="K162" i="14"/>
  <c r="K165" i="14"/>
  <c r="K166" i="14"/>
  <c r="K163" i="14"/>
  <c r="K167" i="14"/>
  <c r="E124" i="12"/>
  <c r="E126" i="12" s="1"/>
  <c r="E127" i="12" s="1"/>
  <c r="E178" i="12" s="1"/>
  <c r="E158" i="12"/>
  <c r="H178" i="10"/>
  <c r="F116" i="17" s="1"/>
  <c r="H177" i="10"/>
  <c r="E116" i="17" s="1"/>
  <c r="H179" i="10"/>
  <c r="G116" i="17" s="1"/>
  <c r="H181" i="10"/>
  <c r="I116" i="17" s="1"/>
  <c r="H176" i="10"/>
  <c r="D116" i="17" s="1"/>
  <c r="H180" i="10"/>
  <c r="H116" i="17" s="1"/>
  <c r="H147" i="10"/>
  <c r="H149" i="10"/>
  <c r="G19" i="17" s="1"/>
  <c r="H151" i="10"/>
  <c r="H146" i="10"/>
  <c r="G52" i="17" s="1"/>
  <c r="H148" i="10"/>
  <c r="H150" i="10"/>
  <c r="K79" i="12"/>
  <c r="M107" i="12"/>
  <c r="J125" i="12" s="1"/>
  <c r="F109" i="12"/>
  <c r="L174" i="12"/>
  <c r="L172" i="12"/>
  <c r="L176" i="12"/>
  <c r="L173" i="12"/>
  <c r="L175" i="12"/>
  <c r="L177" i="12"/>
  <c r="H165" i="12"/>
  <c r="H163" i="12"/>
  <c r="H167" i="12"/>
  <c r="H162" i="12"/>
  <c r="H164" i="12"/>
  <c r="H166" i="12"/>
  <c r="H144" i="12"/>
  <c r="H142" i="12"/>
  <c r="H146" i="12"/>
  <c r="H143" i="12"/>
  <c r="H145" i="12"/>
  <c r="H147" i="12"/>
  <c r="G176" i="12"/>
  <c r="G172" i="12"/>
  <c r="G175" i="12"/>
  <c r="G174" i="12"/>
  <c r="G173" i="12"/>
  <c r="G177" i="12"/>
  <c r="F163" i="12"/>
  <c r="F167" i="12"/>
  <c r="F165" i="12"/>
  <c r="F162" i="12"/>
  <c r="F164" i="12"/>
  <c r="F166" i="12"/>
  <c r="F142" i="12"/>
  <c r="F146" i="12"/>
  <c r="F143" i="12"/>
  <c r="F145" i="12"/>
  <c r="F147" i="12"/>
  <c r="F144" i="12"/>
  <c r="N174" i="12"/>
  <c r="N173" i="12"/>
  <c r="N177" i="12"/>
  <c r="N172" i="12"/>
  <c r="N176" i="12"/>
  <c r="N175" i="12"/>
  <c r="M167" i="12"/>
  <c r="M163" i="12"/>
  <c r="M164" i="12"/>
  <c r="M165" i="12"/>
  <c r="M162" i="12"/>
  <c r="M166" i="12"/>
  <c r="M144" i="12"/>
  <c r="M143" i="12"/>
  <c r="M147" i="12"/>
  <c r="M146" i="12"/>
  <c r="M142" i="12"/>
  <c r="M145" i="12"/>
  <c r="I148" i="12"/>
  <c r="I178" i="12"/>
  <c r="I168" i="12"/>
  <c r="L165" i="12"/>
  <c r="L163" i="12"/>
  <c r="L167" i="12"/>
  <c r="L162" i="12"/>
  <c r="L164" i="12"/>
  <c r="L166" i="12"/>
  <c r="L144" i="12"/>
  <c r="L142" i="12"/>
  <c r="L146" i="12"/>
  <c r="L143" i="12"/>
  <c r="L145" i="12"/>
  <c r="L147" i="12"/>
  <c r="H174" i="12"/>
  <c r="H172" i="12"/>
  <c r="H176" i="12"/>
  <c r="H173" i="12"/>
  <c r="H175" i="12"/>
  <c r="H177" i="12"/>
  <c r="G165" i="12"/>
  <c r="G162" i="12"/>
  <c r="G166" i="12"/>
  <c r="G167" i="12"/>
  <c r="G163" i="12"/>
  <c r="G164" i="12"/>
  <c r="G146" i="12"/>
  <c r="G142" i="12"/>
  <c r="G145" i="12"/>
  <c r="G144" i="12"/>
  <c r="G143" i="12"/>
  <c r="G147" i="12"/>
  <c r="K77" i="12"/>
  <c r="K78" i="12"/>
  <c r="F172" i="12"/>
  <c r="F176" i="12"/>
  <c r="F174" i="12"/>
  <c r="F173" i="12"/>
  <c r="F175" i="12"/>
  <c r="F177" i="12"/>
  <c r="N163" i="12"/>
  <c r="N167" i="12"/>
  <c r="N164" i="12"/>
  <c r="N165" i="12"/>
  <c r="N162" i="12"/>
  <c r="N166" i="12"/>
  <c r="N144" i="12"/>
  <c r="N143" i="12"/>
  <c r="N147" i="12"/>
  <c r="N142" i="12"/>
  <c r="N146" i="12"/>
  <c r="N145" i="12"/>
  <c r="M174" i="12"/>
  <c r="M173" i="12"/>
  <c r="M176" i="12"/>
  <c r="M172" i="12"/>
  <c r="M175" i="12"/>
  <c r="M177" i="12"/>
  <c r="L176" i="10"/>
  <c r="L177" i="10"/>
  <c r="L181" i="10"/>
  <c r="L178" i="10"/>
  <c r="L180" i="10"/>
  <c r="L179" i="10"/>
  <c r="L171" i="10"/>
  <c r="L167" i="10"/>
  <c r="L169" i="10"/>
  <c r="L166" i="10"/>
  <c r="L168" i="10"/>
  <c r="L170" i="10"/>
  <c r="M181" i="10"/>
  <c r="M179" i="10"/>
  <c r="M177" i="10"/>
  <c r="M178" i="10"/>
  <c r="M176" i="10"/>
  <c r="M180" i="10"/>
  <c r="G181" i="10"/>
  <c r="G179" i="10"/>
  <c r="G177" i="10"/>
  <c r="G176" i="10"/>
  <c r="G178" i="10"/>
  <c r="G180" i="10"/>
  <c r="K128" i="10"/>
  <c r="M170" i="10"/>
  <c r="M168" i="10"/>
  <c r="M166" i="10"/>
  <c r="M167" i="10"/>
  <c r="M171" i="10"/>
  <c r="M169" i="10"/>
  <c r="G170" i="10"/>
  <c r="H377" i="17" s="1"/>
  <c r="G169" i="10"/>
  <c r="G377" i="17" s="1"/>
  <c r="J128" i="10"/>
  <c r="E151" i="10"/>
  <c r="E149" i="10"/>
  <c r="E147" i="10"/>
  <c r="E146" i="10"/>
  <c r="E148" i="10"/>
  <c r="E150" i="10"/>
  <c r="I152" i="12" l="1"/>
  <c r="I156" i="12"/>
  <c r="G167" i="10"/>
  <c r="E377" i="17" s="1"/>
  <c r="J166" i="20"/>
  <c r="J167" i="20"/>
  <c r="J168" i="20"/>
  <c r="J171" i="20"/>
  <c r="J169" i="20"/>
  <c r="J170" i="20"/>
  <c r="E172" i="10"/>
  <c r="E166" i="10" s="1"/>
  <c r="I157" i="12"/>
  <c r="F170" i="10"/>
  <c r="F167" i="10"/>
  <c r="G166" i="10"/>
  <c r="D377" i="17" s="1"/>
  <c r="I153" i="12"/>
  <c r="F166" i="10"/>
  <c r="J177" i="20"/>
  <c r="J176" i="20"/>
  <c r="J179" i="20"/>
  <c r="J178" i="20"/>
  <c r="J180" i="20"/>
  <c r="J181" i="20"/>
  <c r="I154" i="12"/>
  <c r="G171" i="10"/>
  <c r="I377" i="17" s="1"/>
  <c r="H167" i="10"/>
  <c r="C96" i="9"/>
  <c r="R43" i="10"/>
  <c r="K82" i="10"/>
  <c r="E148" i="12"/>
  <c r="E144" i="12" s="1"/>
  <c r="E168" i="12"/>
  <c r="E164" i="12" s="1"/>
  <c r="H170" i="10"/>
  <c r="H166" i="10"/>
  <c r="H171" i="10"/>
  <c r="H168" i="10"/>
  <c r="G191" i="10"/>
  <c r="D83" i="17" s="1"/>
  <c r="D52" i="17"/>
  <c r="J191" i="10"/>
  <c r="E83" i="17" s="1"/>
  <c r="J192" i="10"/>
  <c r="G83" i="17" s="1"/>
  <c r="G192" i="10"/>
  <c r="F83" i="17" s="1"/>
  <c r="D19" i="17"/>
  <c r="J109" i="12"/>
  <c r="K125" i="12" s="1"/>
  <c r="K158" i="12" s="1"/>
  <c r="M109" i="12"/>
  <c r="E160" i="10"/>
  <c r="E158" i="10"/>
  <c r="E156" i="10"/>
  <c r="E161" i="10"/>
  <c r="E159" i="10"/>
  <c r="E157" i="10"/>
  <c r="J130" i="10"/>
  <c r="J131" i="10" s="1"/>
  <c r="J182" i="10" s="1"/>
  <c r="J129" i="10"/>
  <c r="J162" i="10" s="1"/>
  <c r="K130" i="10"/>
  <c r="K131" i="10" s="1"/>
  <c r="K182" i="10" s="1"/>
  <c r="K129" i="10"/>
  <c r="K162" i="10" s="1"/>
  <c r="J152" i="10"/>
  <c r="J150" i="10" s="1"/>
  <c r="K152" i="10"/>
  <c r="K149" i="10" s="1"/>
  <c r="J19" i="17" s="1"/>
  <c r="J124" i="12"/>
  <c r="J126" i="12" s="1"/>
  <c r="J127" i="12" s="1"/>
  <c r="J178" i="12" s="1"/>
  <c r="J158" i="12"/>
  <c r="E157" i="12"/>
  <c r="E156" i="12"/>
  <c r="E154" i="12"/>
  <c r="E155" i="12"/>
  <c r="E152" i="12"/>
  <c r="E153" i="12"/>
  <c r="I174" i="12"/>
  <c r="I173" i="12"/>
  <c r="I177" i="12"/>
  <c r="I176" i="12"/>
  <c r="I172" i="12"/>
  <c r="I175" i="12"/>
  <c r="E145" i="12"/>
  <c r="G188" i="12" s="1"/>
  <c r="F85" i="17" s="1"/>
  <c r="I167" i="12"/>
  <c r="I163" i="12"/>
  <c r="I164" i="12"/>
  <c r="I165" i="12"/>
  <c r="I162" i="12"/>
  <c r="I166" i="12"/>
  <c r="I144" i="12"/>
  <c r="I143" i="12"/>
  <c r="I147" i="12"/>
  <c r="I146" i="12"/>
  <c r="I142" i="12"/>
  <c r="I145" i="12"/>
  <c r="E174" i="12"/>
  <c r="E173" i="12"/>
  <c r="E176" i="12"/>
  <c r="E172" i="12"/>
  <c r="E175" i="12"/>
  <c r="E177" i="12"/>
  <c r="J146" i="10"/>
  <c r="I52" i="17" s="1"/>
  <c r="J149" i="10"/>
  <c r="I19" i="17" s="1"/>
  <c r="E181" i="10"/>
  <c r="E179" i="10"/>
  <c r="E177" i="10"/>
  <c r="E176" i="10"/>
  <c r="E178" i="10"/>
  <c r="E180" i="10"/>
  <c r="E168" i="10"/>
  <c r="E171" i="10"/>
  <c r="B25" i="9"/>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K18" i="2"/>
  <c r="J18" i="2"/>
  <c r="G18" i="2"/>
  <c r="F18" i="2"/>
  <c r="E18" i="2"/>
  <c r="D18" i="2"/>
  <c r="C18" i="2"/>
  <c r="B18" i="2"/>
  <c r="D175" i="4"/>
  <c r="D174" i="4"/>
  <c r="D173" i="4"/>
  <c r="D172" i="4"/>
  <c r="D171" i="4"/>
  <c r="D170" i="4"/>
  <c r="D169" i="4"/>
  <c r="D165" i="4"/>
  <c r="D164" i="4"/>
  <c r="D163" i="4"/>
  <c r="D162" i="4"/>
  <c r="D161" i="4"/>
  <c r="D160" i="4"/>
  <c r="D159" i="4"/>
  <c r="I117" i="4"/>
  <c r="D140" i="4"/>
  <c r="D141" i="4"/>
  <c r="D142" i="4"/>
  <c r="D143" i="4"/>
  <c r="D144" i="4"/>
  <c r="D145" i="4"/>
  <c r="D139" i="4"/>
  <c r="D134" i="4"/>
  <c r="E166" i="12" l="1"/>
  <c r="E170" i="10"/>
  <c r="E162" i="12"/>
  <c r="K146" i="10"/>
  <c r="J52" i="17" s="1"/>
  <c r="E167" i="10"/>
  <c r="E146" i="12"/>
  <c r="E163" i="12"/>
  <c r="C97" i="9"/>
  <c r="R44" i="10"/>
  <c r="E169" i="10"/>
  <c r="K150" i="10"/>
  <c r="E143" i="12"/>
  <c r="E167" i="12"/>
  <c r="K124" i="12"/>
  <c r="K126" i="12" s="1"/>
  <c r="J172" i="10"/>
  <c r="J148" i="10"/>
  <c r="J168" i="12"/>
  <c r="J167" i="12" s="1"/>
  <c r="J148" i="12"/>
  <c r="J142" i="12" s="1"/>
  <c r="E142" i="12"/>
  <c r="G187" i="12" s="1"/>
  <c r="D85" i="17" s="1"/>
  <c r="E147" i="12"/>
  <c r="K147" i="10"/>
  <c r="E165" i="12"/>
  <c r="K148" i="12"/>
  <c r="K142" i="12" s="1"/>
  <c r="J188" i="12"/>
  <c r="G85" i="17" s="1"/>
  <c r="J187" i="12"/>
  <c r="E85" i="17" s="1"/>
  <c r="K151" i="10"/>
  <c r="K160" i="10"/>
  <c r="K158" i="10"/>
  <c r="K161" i="10"/>
  <c r="K159" i="10"/>
  <c r="K157" i="10"/>
  <c r="K156" i="10"/>
  <c r="J160" i="10"/>
  <c r="J158" i="10"/>
  <c r="J156" i="10"/>
  <c r="J161" i="10"/>
  <c r="J159" i="10"/>
  <c r="J157" i="10"/>
  <c r="K148" i="10"/>
  <c r="K172" i="10"/>
  <c r="K170" i="10" s="1"/>
  <c r="J151" i="10"/>
  <c r="J147" i="10"/>
  <c r="J157" i="12"/>
  <c r="J154" i="12"/>
  <c r="J152" i="12"/>
  <c r="J156" i="12"/>
  <c r="J153" i="12"/>
  <c r="J155" i="12"/>
  <c r="K157" i="12"/>
  <c r="K153" i="12"/>
  <c r="K152" i="12"/>
  <c r="K156" i="12"/>
  <c r="K154" i="12"/>
  <c r="K155" i="12"/>
  <c r="J172" i="12"/>
  <c r="J176" i="12"/>
  <c r="J173" i="12"/>
  <c r="J175" i="12"/>
  <c r="J177" i="12"/>
  <c r="J174" i="12"/>
  <c r="K143" i="12"/>
  <c r="J146" i="12"/>
  <c r="J143" i="12"/>
  <c r="J147" i="12"/>
  <c r="J176" i="10"/>
  <c r="J180" i="10"/>
  <c r="J178" i="10"/>
  <c r="J177" i="10"/>
  <c r="J179" i="10"/>
  <c r="J181" i="10"/>
  <c r="J169" i="10"/>
  <c r="J167" i="10"/>
  <c r="J171" i="10"/>
  <c r="J166" i="10"/>
  <c r="J168" i="10"/>
  <c r="J170" i="10"/>
  <c r="K181" i="10"/>
  <c r="K179" i="10"/>
  <c r="K177" i="10"/>
  <c r="K176" i="10"/>
  <c r="K178" i="10"/>
  <c r="K180" i="10"/>
  <c r="K144" i="12" l="1"/>
  <c r="K145" i="12"/>
  <c r="K147" i="12"/>
  <c r="K146" i="12"/>
  <c r="J163" i="12"/>
  <c r="J166" i="12"/>
  <c r="J164" i="12"/>
  <c r="C98" i="9"/>
  <c r="R45" i="10"/>
  <c r="J162" i="12"/>
  <c r="J165" i="12"/>
  <c r="K127" i="12"/>
  <c r="K178" i="12" s="1"/>
  <c r="K168" i="12"/>
  <c r="J145" i="12"/>
  <c r="J144" i="12"/>
  <c r="K167" i="10"/>
  <c r="K171" i="10"/>
  <c r="K168" i="10"/>
  <c r="K169" i="10"/>
  <c r="K166" i="10"/>
  <c r="Q114" i="4"/>
  <c r="Q113" i="4"/>
  <c r="Q112" i="4"/>
  <c r="L90" i="4" a="1"/>
  <c r="L90" i="4" s="1"/>
  <c r="L88" i="4" a="1"/>
  <c r="L88" i="4" s="1"/>
  <c r="D82" i="4"/>
  <c r="D14" i="4"/>
  <c r="F13" i="4"/>
  <c r="S39" i="4"/>
  <c r="S40" i="4"/>
  <c r="S41" i="4"/>
  <c r="S42" i="4"/>
  <c r="S43" i="4"/>
  <c r="S44" i="4"/>
  <c r="S45" i="4"/>
  <c r="S46" i="4"/>
  <c r="S47" i="4"/>
  <c r="S48" i="4"/>
  <c r="S49" i="4"/>
  <c r="S50" i="4"/>
  <c r="S51" i="4"/>
  <c r="S38" i="4"/>
  <c r="N39" i="4"/>
  <c r="N40" i="4"/>
  <c r="N41" i="4"/>
  <c r="N42" i="4"/>
  <c r="N43" i="4"/>
  <c r="N44" i="4"/>
  <c r="N45" i="4"/>
  <c r="N46" i="4"/>
  <c r="N47" i="4"/>
  <c r="N48" i="4"/>
  <c r="N49" i="4"/>
  <c r="N50" i="4"/>
  <c r="N51" i="4"/>
  <c r="N52" i="4"/>
  <c r="N38" i="4"/>
  <c r="I39" i="4"/>
  <c r="I40" i="4"/>
  <c r="I41" i="4"/>
  <c r="I42" i="4"/>
  <c r="I43" i="4"/>
  <c r="I44" i="4"/>
  <c r="I45" i="4"/>
  <c r="I46" i="4"/>
  <c r="I47" i="4"/>
  <c r="I48" i="4"/>
  <c r="I49" i="4"/>
  <c r="I50" i="4"/>
  <c r="I51" i="4"/>
  <c r="I52" i="4"/>
  <c r="I38" i="4"/>
  <c r="D39" i="4"/>
  <c r="D40" i="4"/>
  <c r="D41" i="4"/>
  <c r="D42" i="4"/>
  <c r="D43" i="4"/>
  <c r="D44" i="4"/>
  <c r="D45" i="4"/>
  <c r="D46" i="4"/>
  <c r="D47" i="4"/>
  <c r="D48" i="4"/>
  <c r="D49" i="4"/>
  <c r="D50" i="4"/>
  <c r="D51" i="4"/>
  <c r="D52" i="4"/>
  <c r="D38" i="4"/>
  <c r="C38" i="4"/>
  <c r="B38" i="4"/>
  <c r="K176" i="12" l="1"/>
  <c r="K173" i="12"/>
  <c r="K172" i="12"/>
  <c r="K177" i="12"/>
  <c r="K174" i="12"/>
  <c r="K175" i="12"/>
  <c r="C99" i="9"/>
  <c r="R46" i="10"/>
  <c r="K162" i="12"/>
  <c r="K164" i="12"/>
  <c r="K165" i="12"/>
  <c r="K166" i="12"/>
  <c r="K167" i="12"/>
  <c r="K163" i="12"/>
  <c r="D295" i="17"/>
  <c r="D214" i="17"/>
  <c r="D157" i="17"/>
  <c r="F122" i="4"/>
  <c r="F155" i="4" s="1"/>
  <c r="G122" i="4"/>
  <c r="G155" i="4" s="1"/>
  <c r="L122" i="4"/>
  <c r="L155" i="4" s="1"/>
  <c r="N122" i="4"/>
  <c r="N155" i="4" s="1"/>
  <c r="H122" i="4"/>
  <c r="H155" i="4" s="1"/>
  <c r="M122" i="4"/>
  <c r="M155" i="4" s="1"/>
  <c r="D15" i="4"/>
  <c r="H18" i="2" s="1"/>
  <c r="N221" i="17" l="1"/>
  <c r="N222" i="17" s="1"/>
  <c r="E221" i="17"/>
  <c r="E222" i="17" s="1"/>
  <c r="H221" i="17"/>
  <c r="H222" i="17" s="1"/>
  <c r="K221" i="17"/>
  <c r="K222" i="17" s="1"/>
  <c r="K302" i="17"/>
  <c r="K303" i="17" s="1"/>
  <c r="H302" i="17"/>
  <c r="H303" i="17" s="1"/>
  <c r="N302" i="17"/>
  <c r="N303" i="17" s="1"/>
  <c r="E302" i="17"/>
  <c r="E303" i="17" s="1"/>
  <c r="C100" i="9"/>
  <c r="R47" i="10"/>
  <c r="E165" i="17"/>
  <c r="E166" i="17" s="1"/>
  <c r="N165" i="17"/>
  <c r="N166" i="17" s="1"/>
  <c r="H165" i="17"/>
  <c r="H166" i="17" s="1"/>
  <c r="K165" i="17"/>
  <c r="K166" i="17" s="1"/>
  <c r="L154" i="4"/>
  <c r="L153" i="4"/>
  <c r="L152" i="4"/>
  <c r="L151" i="4"/>
  <c r="L150" i="4"/>
  <c r="L149" i="4"/>
  <c r="F154" i="4"/>
  <c r="F153" i="4"/>
  <c r="F152" i="4"/>
  <c r="F151" i="4"/>
  <c r="F149" i="4"/>
  <c r="F150" i="4"/>
  <c r="M154" i="4"/>
  <c r="M153" i="4"/>
  <c r="M152" i="4"/>
  <c r="M151" i="4"/>
  <c r="M150" i="4"/>
  <c r="M149" i="4"/>
  <c r="N154" i="4"/>
  <c r="N153" i="4"/>
  <c r="N152" i="4"/>
  <c r="N151" i="4"/>
  <c r="N150" i="4"/>
  <c r="N149" i="4"/>
  <c r="H154" i="4"/>
  <c r="H153" i="4"/>
  <c r="H152" i="4"/>
  <c r="H151" i="4"/>
  <c r="H150" i="4"/>
  <c r="H149" i="4"/>
  <c r="G154" i="4"/>
  <c r="G153" i="4"/>
  <c r="G152" i="4"/>
  <c r="G151" i="4"/>
  <c r="G150" i="4"/>
  <c r="G149" i="4"/>
  <c r="M123" i="4"/>
  <c r="M124" i="4" s="1"/>
  <c r="M175" i="4" s="1"/>
  <c r="M121" i="4"/>
  <c r="M145" i="4" s="1"/>
  <c r="M144" i="4" s="1"/>
  <c r="H123" i="4"/>
  <c r="H124" i="4" s="1"/>
  <c r="H121" i="4"/>
  <c r="H145" i="4" s="1"/>
  <c r="H144" i="4" s="1"/>
  <c r="N121" i="4"/>
  <c r="N145" i="4" s="1"/>
  <c r="N144" i="4" s="1"/>
  <c r="N123" i="4"/>
  <c r="N124" i="4" s="1"/>
  <c r="N175" i="4" s="1"/>
  <c r="L121" i="4"/>
  <c r="L145" i="4" s="1"/>
  <c r="L144" i="4" s="1"/>
  <c r="L123" i="4"/>
  <c r="L124" i="4" s="1"/>
  <c r="L175" i="4" s="1"/>
  <c r="G123" i="4"/>
  <c r="G124" i="4" s="1"/>
  <c r="G175" i="4" s="1"/>
  <c r="G121" i="4"/>
  <c r="G145" i="4" s="1"/>
  <c r="G143" i="4" s="1"/>
  <c r="F123" i="4"/>
  <c r="F124" i="4" s="1"/>
  <c r="F121" i="4"/>
  <c r="F145" i="4" s="1"/>
  <c r="F144" i="4" s="1"/>
  <c r="N139" i="4"/>
  <c r="M51" i="17" s="1"/>
  <c r="N143" i="4"/>
  <c r="L139" i="4"/>
  <c r="K51" i="17" s="1"/>
  <c r="L143" i="4"/>
  <c r="L141" i="4"/>
  <c r="L140" i="4"/>
  <c r="H175" i="4"/>
  <c r="F165" i="4"/>
  <c r="F175" i="4"/>
  <c r="M165" i="4" l="1"/>
  <c r="F139" i="4"/>
  <c r="E51" i="17" s="1"/>
  <c r="N141" i="4"/>
  <c r="C101" i="9"/>
  <c r="R48" i="10"/>
  <c r="N165" i="4"/>
  <c r="N161" i="4" s="1"/>
  <c r="F141" i="4"/>
  <c r="G165" i="4"/>
  <c r="G162" i="4" s="1"/>
  <c r="G376" i="17" s="1"/>
  <c r="L165" i="4"/>
  <c r="L163" i="4" s="1"/>
  <c r="F143" i="4"/>
  <c r="H143" i="4"/>
  <c r="H165" i="4"/>
  <c r="H163" i="4" s="1"/>
  <c r="G142" i="4"/>
  <c r="F18" i="17" s="1"/>
  <c r="G140" i="4"/>
  <c r="G144" i="4"/>
  <c r="H140" i="4"/>
  <c r="H141" i="4"/>
  <c r="M139" i="4"/>
  <c r="L51" i="17" s="1"/>
  <c r="M141" i="4"/>
  <c r="M143" i="4"/>
  <c r="F140" i="4"/>
  <c r="F142" i="4"/>
  <c r="E18" i="17" s="1"/>
  <c r="G139" i="4"/>
  <c r="F51" i="17" s="1"/>
  <c r="G141" i="4"/>
  <c r="H142" i="4"/>
  <c r="G18" i="17" s="1"/>
  <c r="H139" i="4"/>
  <c r="G51" i="17" s="1"/>
  <c r="M140" i="4"/>
  <c r="M142" i="4"/>
  <c r="L18" i="17" s="1"/>
  <c r="L142" i="4"/>
  <c r="K18" i="17" s="1"/>
  <c r="N140" i="4"/>
  <c r="N142" i="4"/>
  <c r="M18" i="17" s="1"/>
  <c r="F169" i="4"/>
  <c r="F174" i="4"/>
  <c r="F173" i="4"/>
  <c r="F172" i="4"/>
  <c r="F171" i="4"/>
  <c r="F170" i="4"/>
  <c r="L169" i="4"/>
  <c r="L174" i="4"/>
  <c r="L173" i="4"/>
  <c r="L172" i="4"/>
  <c r="L171" i="4"/>
  <c r="L170" i="4"/>
  <c r="N169" i="4"/>
  <c r="N174" i="4"/>
  <c r="N173" i="4"/>
  <c r="N172" i="4"/>
  <c r="N171" i="4"/>
  <c r="N170" i="4"/>
  <c r="G174" i="4"/>
  <c r="G173" i="4"/>
  <c r="G172" i="4"/>
  <c r="G171" i="4"/>
  <c r="G170" i="4"/>
  <c r="G169" i="4"/>
  <c r="M174" i="4"/>
  <c r="M173" i="4"/>
  <c r="M172" i="4"/>
  <c r="M171" i="4"/>
  <c r="M170" i="4"/>
  <c r="M169" i="4"/>
  <c r="H169" i="4"/>
  <c r="D115" i="17" s="1"/>
  <c r="H174" i="4"/>
  <c r="I115" i="17" s="1"/>
  <c r="H173" i="4"/>
  <c r="H115" i="17" s="1"/>
  <c r="H172" i="4"/>
  <c r="G115" i="17" s="1"/>
  <c r="H171" i="4"/>
  <c r="F115" i="17" s="1"/>
  <c r="H170" i="4"/>
  <c r="E115" i="17" s="1"/>
  <c r="G164" i="4"/>
  <c r="I376" i="17" s="1"/>
  <c r="M164" i="4"/>
  <c r="M163" i="4"/>
  <c r="M162" i="4"/>
  <c r="M161" i="4"/>
  <c r="M160" i="4"/>
  <c r="M159" i="4"/>
  <c r="F164" i="4"/>
  <c r="F163" i="4"/>
  <c r="F162" i="4"/>
  <c r="F161" i="4"/>
  <c r="F160" i="4"/>
  <c r="F159" i="4"/>
  <c r="N162" i="4"/>
  <c r="G159" i="4" l="1"/>
  <c r="D376" i="17" s="1"/>
  <c r="G160" i="4"/>
  <c r="E376" i="17" s="1"/>
  <c r="H160" i="4"/>
  <c r="G161" i="4"/>
  <c r="F376" i="17" s="1"/>
  <c r="G163" i="4"/>
  <c r="H376" i="17" s="1"/>
  <c r="L164" i="4"/>
  <c r="L160" i="4"/>
  <c r="L161" i="4"/>
  <c r="N159" i="4"/>
  <c r="N163" i="4"/>
  <c r="N164" i="4"/>
  <c r="L162" i="4"/>
  <c r="C102" i="9"/>
  <c r="R49" i="10"/>
  <c r="N160" i="4"/>
  <c r="L159" i="4"/>
  <c r="H164" i="4"/>
  <c r="H162" i="4"/>
  <c r="H159" i="4"/>
  <c r="H161" i="4"/>
  <c r="C103" i="9" l="1"/>
  <c r="R50" i="10"/>
  <c r="E82" i="7"/>
  <c r="T51" i="4" s="1"/>
  <c r="U51" i="4" s="1"/>
  <c r="E81" i="7"/>
  <c r="T50" i="4" s="1"/>
  <c r="U50" i="4" s="1"/>
  <c r="E80" i="7"/>
  <c r="T49" i="4" s="1"/>
  <c r="U49" i="4" s="1"/>
  <c r="E79" i="7"/>
  <c r="T48" i="4" s="1"/>
  <c r="U48" i="4" s="1"/>
  <c r="E78" i="7"/>
  <c r="T47" i="4" s="1"/>
  <c r="U47" i="4" s="1"/>
  <c r="E77" i="7"/>
  <c r="T46" i="4" s="1"/>
  <c r="U46" i="4" s="1"/>
  <c r="E76" i="7"/>
  <c r="T45" i="4" s="1"/>
  <c r="U45" i="4" s="1"/>
  <c r="E75" i="7"/>
  <c r="T44" i="4" s="1"/>
  <c r="U44" i="4" s="1"/>
  <c r="E74" i="7"/>
  <c r="T43" i="4" s="1"/>
  <c r="U43" i="4" s="1"/>
  <c r="E73" i="7"/>
  <c r="T42" i="4" s="1"/>
  <c r="U42" i="4" s="1"/>
  <c r="E72" i="7"/>
  <c r="T41" i="4" s="1"/>
  <c r="U41" i="4" s="1"/>
  <c r="E71" i="7"/>
  <c r="T40" i="4" s="1"/>
  <c r="U40" i="4" s="1"/>
  <c r="E70" i="7"/>
  <c r="T39" i="4" s="1"/>
  <c r="U39" i="4" s="1"/>
  <c r="E69" i="7"/>
  <c r="T38" i="4" s="1"/>
  <c r="U38" i="4" s="1"/>
  <c r="E68" i="7"/>
  <c r="O52" i="4" s="1"/>
  <c r="P52" i="4" s="1"/>
  <c r="E67" i="7"/>
  <c r="O51" i="4" s="1"/>
  <c r="P51" i="4" s="1"/>
  <c r="E66" i="7"/>
  <c r="O50" i="4" s="1"/>
  <c r="P50" i="4" s="1"/>
  <c r="E65" i="7"/>
  <c r="O49" i="4" s="1"/>
  <c r="P49" i="4" s="1"/>
  <c r="E64" i="7"/>
  <c r="O48" i="4" s="1"/>
  <c r="P48" i="4" s="1"/>
  <c r="E63" i="7"/>
  <c r="O47" i="4" s="1"/>
  <c r="P47" i="4" s="1"/>
  <c r="E62" i="7"/>
  <c r="O46" i="4" s="1"/>
  <c r="P46" i="4" s="1"/>
  <c r="E61" i="7"/>
  <c r="O45" i="4" s="1"/>
  <c r="P45" i="4" s="1"/>
  <c r="E60" i="7"/>
  <c r="O44" i="4" s="1"/>
  <c r="P44" i="4" s="1"/>
  <c r="E59" i="7"/>
  <c r="O43" i="4" s="1"/>
  <c r="P43" i="4" s="1"/>
  <c r="E58" i="7"/>
  <c r="O42" i="4" s="1"/>
  <c r="P42" i="4" s="1"/>
  <c r="E57" i="7"/>
  <c r="O41" i="4" s="1"/>
  <c r="P41" i="4" s="1"/>
  <c r="E56" i="7"/>
  <c r="O40" i="4" s="1"/>
  <c r="P40" i="4" s="1"/>
  <c r="E55" i="7"/>
  <c r="O39" i="4" s="1"/>
  <c r="P39" i="4" s="1"/>
  <c r="E54" i="7"/>
  <c r="O38" i="4" s="1"/>
  <c r="P38" i="4" s="1"/>
  <c r="E53" i="7"/>
  <c r="J52" i="4" s="1"/>
  <c r="K52" i="4" s="1"/>
  <c r="E52" i="7"/>
  <c r="J51" i="4" s="1"/>
  <c r="K51" i="4" s="1"/>
  <c r="E51" i="7"/>
  <c r="J50" i="4" s="1"/>
  <c r="K50" i="4" s="1"/>
  <c r="E50" i="7"/>
  <c r="J49" i="4" s="1"/>
  <c r="K49" i="4" s="1"/>
  <c r="E49" i="7"/>
  <c r="J48" i="4" s="1"/>
  <c r="K48" i="4" s="1"/>
  <c r="E48" i="7"/>
  <c r="J47" i="4" s="1"/>
  <c r="K47" i="4" s="1"/>
  <c r="E47" i="7"/>
  <c r="J46" i="4" s="1"/>
  <c r="K46" i="4" s="1"/>
  <c r="E46" i="7"/>
  <c r="J45" i="4" s="1"/>
  <c r="K45" i="4" s="1"/>
  <c r="E45" i="7"/>
  <c r="J44" i="4" s="1"/>
  <c r="K44" i="4" s="1"/>
  <c r="E44" i="7"/>
  <c r="J43" i="4" s="1"/>
  <c r="K43" i="4" s="1"/>
  <c r="E43" i="7"/>
  <c r="J42" i="4" s="1"/>
  <c r="K42" i="4" s="1"/>
  <c r="E42" i="7"/>
  <c r="J41" i="4" s="1"/>
  <c r="K41" i="4" s="1"/>
  <c r="E41" i="7"/>
  <c r="J40" i="4" s="1"/>
  <c r="K40" i="4" s="1"/>
  <c r="E40" i="7"/>
  <c r="J39" i="4" s="1"/>
  <c r="K39" i="4" s="1"/>
  <c r="E39" i="7"/>
  <c r="J38" i="4" s="1"/>
  <c r="K38" i="4" s="1"/>
  <c r="E38" i="7"/>
  <c r="E52" i="4" s="1"/>
  <c r="F52" i="4" s="1"/>
  <c r="E37" i="7"/>
  <c r="E51" i="4" s="1"/>
  <c r="F51" i="4" s="1"/>
  <c r="E36" i="7"/>
  <c r="E50" i="4" s="1"/>
  <c r="F50" i="4" s="1"/>
  <c r="E35" i="7"/>
  <c r="E49" i="4" s="1"/>
  <c r="F49" i="4" s="1"/>
  <c r="E34" i="7"/>
  <c r="E48" i="4" s="1"/>
  <c r="F48" i="4" s="1"/>
  <c r="E33" i="7"/>
  <c r="E47" i="4" s="1"/>
  <c r="F47" i="4" s="1"/>
  <c r="E32" i="7"/>
  <c r="E46" i="4" s="1"/>
  <c r="F46" i="4" s="1"/>
  <c r="E31" i="7"/>
  <c r="E45" i="4" s="1"/>
  <c r="F45" i="4" s="1"/>
  <c r="E30" i="7"/>
  <c r="E44" i="4" s="1"/>
  <c r="F44" i="4" s="1"/>
  <c r="E29" i="7"/>
  <c r="E43" i="4" s="1"/>
  <c r="F43" i="4" s="1"/>
  <c r="E28" i="7"/>
  <c r="E42" i="4" s="1"/>
  <c r="F42" i="4" s="1"/>
  <c r="E27" i="7"/>
  <c r="E41" i="4" s="1"/>
  <c r="F41" i="4" s="1"/>
  <c r="E26" i="7"/>
  <c r="E40" i="4" s="1"/>
  <c r="F40" i="4" s="1"/>
  <c r="E25" i="7"/>
  <c r="E39" i="4" s="1"/>
  <c r="F39" i="4" s="1"/>
  <c r="C25" i="7"/>
  <c r="B25" i="7"/>
  <c r="E24" i="7"/>
  <c r="E38" i="4" s="1"/>
  <c r="F38" i="4" s="1"/>
  <c r="C104" i="9" l="1"/>
  <c r="R51" i="10"/>
  <c r="B26" i="7"/>
  <c r="B39" i="16"/>
  <c r="B39" i="14"/>
  <c r="B39" i="12"/>
  <c r="B39" i="10"/>
  <c r="B39" i="4"/>
  <c r="C26" i="7"/>
  <c r="C39" i="4"/>
  <c r="N97" i="4"/>
  <c r="N55" i="4"/>
  <c r="G58" i="4" s="1"/>
  <c r="E168" i="14"/>
  <c r="E163" i="14" s="1"/>
  <c r="E127" i="14"/>
  <c r="E178" i="14" s="1"/>
  <c r="C105" i="9" l="1"/>
  <c r="R52" i="10"/>
  <c r="C27" i="7"/>
  <c r="C40" i="4"/>
  <c r="F106" i="4"/>
  <c r="E122" i="4"/>
  <c r="I74" i="4"/>
  <c r="B27" i="7"/>
  <c r="B40" i="16"/>
  <c r="B40" i="14"/>
  <c r="B40" i="12"/>
  <c r="B40" i="10"/>
  <c r="B40" i="4"/>
  <c r="E172" i="14"/>
  <c r="E177" i="14"/>
  <c r="E176" i="14"/>
  <c r="E173" i="14"/>
  <c r="E174" i="14"/>
  <c r="E175" i="14"/>
  <c r="E162" i="14"/>
  <c r="E166" i="14"/>
  <c r="E164" i="14"/>
  <c r="E167" i="14"/>
  <c r="E165" i="14"/>
  <c r="C106" i="9" l="1"/>
  <c r="R53" i="10"/>
  <c r="J106" i="4"/>
  <c r="K122" i="4" s="1"/>
  <c r="M106" i="4"/>
  <c r="K123" i="4" s="1"/>
  <c r="B28" i="7"/>
  <c r="B41" i="14"/>
  <c r="B41" i="16"/>
  <c r="B41" i="12"/>
  <c r="B41" i="10"/>
  <c r="B41" i="4"/>
  <c r="K74" i="4"/>
  <c r="I73" i="4"/>
  <c r="K73" i="4" s="1"/>
  <c r="I75" i="4"/>
  <c r="E155" i="4"/>
  <c r="E123" i="4"/>
  <c r="E121" i="4"/>
  <c r="E145" i="4" s="1"/>
  <c r="C28" i="7"/>
  <c r="C41" i="4"/>
  <c r="C107" i="9" l="1"/>
  <c r="R54" i="10"/>
  <c r="E153" i="4"/>
  <c r="E152" i="4"/>
  <c r="E150" i="4"/>
  <c r="E151" i="4"/>
  <c r="E154" i="4"/>
  <c r="E149" i="4"/>
  <c r="C29" i="7"/>
  <c r="C42" i="4"/>
  <c r="I76" i="4"/>
  <c r="K76" i="4" s="1"/>
  <c r="K75" i="4"/>
  <c r="B29" i="7"/>
  <c r="B42" i="14"/>
  <c r="B42" i="16"/>
  <c r="B42" i="10"/>
  <c r="B42" i="12"/>
  <c r="B42" i="4"/>
  <c r="E144" i="4"/>
  <c r="E139" i="4"/>
  <c r="E143" i="4"/>
  <c r="J185" i="4"/>
  <c r="G82" i="17" s="1"/>
  <c r="E142" i="4"/>
  <c r="E140" i="4"/>
  <c r="J184" i="4"/>
  <c r="E82" i="17" s="1"/>
  <c r="E141" i="4"/>
  <c r="K124" i="4"/>
  <c r="K175" i="4" s="1"/>
  <c r="K165" i="4"/>
  <c r="E124" i="4"/>
  <c r="E175" i="4" s="1"/>
  <c r="E165" i="4"/>
  <c r="K155" i="4"/>
  <c r="K121" i="4"/>
  <c r="K145" i="4" s="1"/>
  <c r="C108" i="9" l="1"/>
  <c r="R56" i="10" s="1"/>
  <c r="Q104" i="10" s="1"/>
  <c r="G107" i="10" s="1"/>
  <c r="I128" i="10" s="1"/>
  <c r="R55" i="10"/>
  <c r="K141" i="4"/>
  <c r="K144" i="4"/>
  <c r="K140" i="4"/>
  <c r="K143" i="4"/>
  <c r="K139" i="4"/>
  <c r="J51" i="17" s="1"/>
  <c r="K142" i="4"/>
  <c r="J18" i="17" s="1"/>
  <c r="E163" i="4"/>
  <c r="E159" i="4"/>
  <c r="E162" i="4"/>
  <c r="E161" i="4"/>
  <c r="E164" i="4"/>
  <c r="E160" i="4"/>
  <c r="E173" i="4"/>
  <c r="E170" i="4"/>
  <c r="E172" i="4"/>
  <c r="E171" i="4"/>
  <c r="E174" i="4"/>
  <c r="E169" i="4"/>
  <c r="B30" i="7"/>
  <c r="B43" i="14"/>
  <c r="B43" i="16"/>
  <c r="B43" i="12"/>
  <c r="B43" i="10"/>
  <c r="B43" i="4"/>
  <c r="C30" i="7"/>
  <c r="C43" i="4"/>
  <c r="K164" i="4"/>
  <c r="K160" i="4"/>
  <c r="K163" i="4"/>
  <c r="K162" i="4"/>
  <c r="K161" i="4"/>
  <c r="K159" i="4"/>
  <c r="G184" i="4"/>
  <c r="D82" i="17" s="1"/>
  <c r="D51" i="17"/>
  <c r="K154" i="4"/>
  <c r="K150" i="4"/>
  <c r="K152" i="4"/>
  <c r="K151" i="4"/>
  <c r="K153" i="4"/>
  <c r="K149" i="4"/>
  <c r="K172" i="4"/>
  <c r="K174" i="4"/>
  <c r="K170" i="4"/>
  <c r="K173" i="4"/>
  <c r="K169" i="4"/>
  <c r="K171" i="4"/>
  <c r="G185" i="4"/>
  <c r="F82" i="17" s="1"/>
  <c r="D18" i="17"/>
  <c r="I152" i="10" l="1"/>
  <c r="I130" i="10"/>
  <c r="I129" i="10"/>
  <c r="I162" i="10" s="1"/>
  <c r="B31" i="7"/>
  <c r="B44" i="14"/>
  <c r="B44" i="16"/>
  <c r="B44" i="12"/>
  <c r="B44" i="10"/>
  <c r="B44" i="4"/>
  <c r="C31" i="7"/>
  <c r="C44" i="4"/>
  <c r="I156" i="10" l="1"/>
  <c r="I157" i="10"/>
  <c r="I161" i="10"/>
  <c r="I160" i="10"/>
  <c r="I159" i="10"/>
  <c r="I158" i="10"/>
  <c r="I131" i="10"/>
  <c r="I182" i="10" s="1"/>
  <c r="I172" i="10"/>
  <c r="I150" i="10"/>
  <c r="I149" i="10"/>
  <c r="H19" i="17" s="1"/>
  <c r="I151" i="10"/>
  <c r="I146" i="10"/>
  <c r="H52" i="17" s="1"/>
  <c r="I147" i="10"/>
  <c r="I148" i="10"/>
  <c r="C32" i="7"/>
  <c r="C45" i="4"/>
  <c r="B32" i="7"/>
  <c r="B45" i="16"/>
  <c r="B45" i="14"/>
  <c r="B45" i="10"/>
  <c r="B45" i="12"/>
  <c r="B45" i="4"/>
  <c r="I177" i="10" l="1"/>
  <c r="I181" i="10"/>
  <c r="I176" i="10"/>
  <c r="I179" i="10"/>
  <c r="I178" i="10"/>
  <c r="I180" i="10"/>
  <c r="I168" i="10"/>
  <c r="I171" i="10"/>
  <c r="O304" i="17" s="1"/>
  <c r="I169" i="10"/>
  <c r="I304" i="17" s="1"/>
  <c r="I166" i="10"/>
  <c r="F304" i="17" s="1"/>
  <c r="I167" i="10"/>
  <c r="I170" i="10"/>
  <c r="L304" i="17" s="1"/>
  <c r="B33" i="7"/>
  <c r="B46" i="16"/>
  <c r="B46" i="14"/>
  <c r="B46" i="12"/>
  <c r="B46" i="10"/>
  <c r="B46" i="4"/>
  <c r="C33" i="7"/>
  <c r="C46" i="4"/>
  <c r="L308" i="17" l="1"/>
  <c r="L307" i="17"/>
  <c r="L312" i="17"/>
  <c r="L310" i="17"/>
  <c r="L309" i="17"/>
  <c r="L306" i="17"/>
  <c r="L311" i="17"/>
  <c r="I223" i="17"/>
  <c r="I167" i="17"/>
  <c r="F311" i="17"/>
  <c r="F310" i="17"/>
  <c r="F307" i="17"/>
  <c r="F312" i="17"/>
  <c r="F309" i="17"/>
  <c r="F308" i="17"/>
  <c r="F306" i="17"/>
  <c r="O312" i="17"/>
  <c r="O309" i="17"/>
  <c r="O307" i="17"/>
  <c r="O306" i="17"/>
  <c r="O311" i="17"/>
  <c r="O310" i="17"/>
  <c r="O308" i="17"/>
  <c r="F167" i="17"/>
  <c r="F223" i="17"/>
  <c r="L167" i="17"/>
  <c r="L223" i="17"/>
  <c r="O167" i="17"/>
  <c r="O223" i="17"/>
  <c r="I306" i="17"/>
  <c r="I309" i="17"/>
  <c r="I308" i="17"/>
  <c r="I307" i="17"/>
  <c r="I312" i="17"/>
  <c r="I311" i="17"/>
  <c r="I310" i="17"/>
  <c r="C34" i="7"/>
  <c r="C47" i="4"/>
  <c r="B34" i="7"/>
  <c r="B47" i="16"/>
  <c r="B47" i="14"/>
  <c r="B47" i="12"/>
  <c r="B47" i="10"/>
  <c r="B47" i="4"/>
  <c r="O169" i="17" l="1"/>
  <c r="O171" i="17"/>
  <c r="O175" i="17"/>
  <c r="O170" i="17"/>
  <c r="O174" i="17"/>
  <c r="O172" i="17"/>
  <c r="O173" i="17"/>
  <c r="I230" i="17"/>
  <c r="I229" i="17"/>
  <c r="I225" i="17"/>
  <c r="I231" i="17"/>
  <c r="I228" i="17"/>
  <c r="I227" i="17"/>
  <c r="I226" i="17"/>
  <c r="L174" i="17"/>
  <c r="L173" i="17"/>
  <c r="L171" i="17"/>
  <c r="L169" i="17"/>
  <c r="L172" i="17"/>
  <c r="L170" i="17"/>
  <c r="L175" i="17"/>
  <c r="F171" i="17"/>
  <c r="F170" i="17"/>
  <c r="F174" i="17"/>
  <c r="F172" i="17"/>
  <c r="F175" i="17"/>
  <c r="F173" i="17"/>
  <c r="F169" i="17"/>
  <c r="L227" i="17"/>
  <c r="L228" i="17"/>
  <c r="L226" i="17"/>
  <c r="L230" i="17"/>
  <c r="L225" i="17"/>
  <c r="L231" i="17"/>
  <c r="L229" i="17"/>
  <c r="O229" i="17"/>
  <c r="O228" i="17"/>
  <c r="O230" i="17"/>
  <c r="O227" i="17"/>
  <c r="O226" i="17"/>
  <c r="O225" i="17"/>
  <c r="O231" i="17"/>
  <c r="F231" i="17"/>
  <c r="F230" i="17"/>
  <c r="F226" i="17"/>
  <c r="F225" i="17"/>
  <c r="F229" i="17"/>
  <c r="F228" i="17"/>
  <c r="F227" i="17"/>
  <c r="I169" i="17"/>
  <c r="I174" i="17"/>
  <c r="I175" i="17"/>
  <c r="I171" i="17"/>
  <c r="I170" i="17"/>
  <c r="I173" i="17"/>
  <c r="I172" i="17"/>
  <c r="B35" i="7"/>
  <c r="B48" i="14"/>
  <c r="B48" i="16"/>
  <c r="B48" i="10"/>
  <c r="B48" i="12"/>
  <c r="B48" i="4"/>
  <c r="C35" i="7"/>
  <c r="C48" i="4"/>
  <c r="C36" i="7" l="1"/>
  <c r="C49" i="4"/>
  <c r="B36" i="7"/>
  <c r="B49" i="16"/>
  <c r="B49" i="14"/>
  <c r="B49" i="10"/>
  <c r="B49" i="12"/>
  <c r="B49" i="4"/>
  <c r="B37" i="7" l="1"/>
  <c r="B50" i="16"/>
  <c r="B50" i="14"/>
  <c r="B50" i="10"/>
  <c r="B50" i="12"/>
  <c r="B50" i="4"/>
  <c r="C37" i="7"/>
  <c r="C50" i="4"/>
  <c r="C38" i="7" l="1"/>
  <c r="C51" i="4"/>
  <c r="B38" i="7"/>
  <c r="B51" i="16"/>
  <c r="B51" i="14"/>
  <c r="B51" i="12"/>
  <c r="B51" i="10"/>
  <c r="B51" i="4"/>
  <c r="B39" i="7" l="1"/>
  <c r="B52" i="16"/>
  <c r="B53" i="16" s="1"/>
  <c r="B54" i="16" s="1"/>
  <c r="B55" i="16" s="1"/>
  <c r="B52" i="14"/>
  <c r="B53" i="14" s="1"/>
  <c r="B54" i="14" s="1"/>
  <c r="B55" i="14" s="1"/>
  <c r="B52" i="12"/>
  <c r="B53" i="12" s="1"/>
  <c r="B54" i="12" s="1"/>
  <c r="B55" i="12" s="1"/>
  <c r="B52" i="10"/>
  <c r="B53" i="10" s="1"/>
  <c r="B54" i="10" s="1"/>
  <c r="B55" i="10" s="1"/>
  <c r="B56" i="10" s="1"/>
  <c r="B57" i="10" s="1"/>
  <c r="B58" i="10" s="1"/>
  <c r="B59" i="10" s="1"/>
  <c r="B52" i="4"/>
  <c r="C39" i="7"/>
  <c r="C52" i="4"/>
  <c r="C40" i="7" l="1"/>
  <c r="H38" i="4"/>
  <c r="B40" i="7"/>
  <c r="G38" i="4"/>
  <c r="B41" i="7" l="1"/>
  <c r="G39" i="4"/>
  <c r="C41" i="7"/>
  <c r="H39" i="4"/>
  <c r="C42" i="7" l="1"/>
  <c r="H40" i="4"/>
  <c r="B42" i="7"/>
  <c r="G40" i="4"/>
  <c r="B43" i="7" l="1"/>
  <c r="G41" i="4"/>
  <c r="C43" i="7"/>
  <c r="H41" i="4"/>
  <c r="C44" i="7" l="1"/>
  <c r="H42" i="4"/>
  <c r="B44" i="7"/>
  <c r="G42" i="4"/>
  <c r="B45" i="7" l="1"/>
  <c r="G43" i="4"/>
  <c r="C45" i="7"/>
  <c r="H43" i="4"/>
  <c r="C46" i="7" l="1"/>
  <c r="H44" i="4"/>
  <c r="B46" i="7"/>
  <c r="G44" i="4"/>
  <c r="B47" i="7" l="1"/>
  <c r="G45" i="4"/>
  <c r="C47" i="7"/>
  <c r="H45" i="4"/>
  <c r="C48" i="7" l="1"/>
  <c r="H46" i="4"/>
  <c r="B48" i="7"/>
  <c r="G46" i="4"/>
  <c r="B49" i="7" l="1"/>
  <c r="G47" i="4"/>
  <c r="C49" i="7"/>
  <c r="H47" i="4"/>
  <c r="C50" i="7" l="1"/>
  <c r="H48" i="4"/>
  <c r="B50" i="7"/>
  <c r="G48" i="4"/>
  <c r="B51" i="7" l="1"/>
  <c r="G49" i="4"/>
  <c r="C51" i="7"/>
  <c r="H49" i="4"/>
  <c r="C52" i="7" l="1"/>
  <c r="H50" i="4"/>
  <c r="B52" i="7"/>
  <c r="G50" i="4"/>
  <c r="B53" i="7" l="1"/>
  <c r="G51" i="4"/>
  <c r="C53" i="7"/>
  <c r="H51" i="4"/>
  <c r="C54" i="7" l="1"/>
  <c r="H52" i="4"/>
  <c r="B54" i="7"/>
  <c r="G52" i="4"/>
  <c r="B55" i="7" l="1"/>
  <c r="L38" i="4"/>
  <c r="C55" i="7"/>
  <c r="M38" i="4"/>
  <c r="C56" i="7" l="1"/>
  <c r="M39" i="4"/>
  <c r="B56" i="7"/>
  <c r="L39" i="4"/>
  <c r="B57" i="7" l="1"/>
  <c r="L40" i="4"/>
  <c r="C57" i="7"/>
  <c r="M40" i="4"/>
  <c r="C58" i="7" l="1"/>
  <c r="M41" i="4"/>
  <c r="B58" i="7"/>
  <c r="L41" i="4"/>
  <c r="B59" i="7" l="1"/>
  <c r="L42" i="4"/>
  <c r="C59" i="7"/>
  <c r="M42" i="4"/>
  <c r="C60" i="7" l="1"/>
  <c r="M43" i="4"/>
  <c r="B60" i="7"/>
  <c r="L43" i="4"/>
  <c r="B61" i="7" l="1"/>
  <c r="L44" i="4"/>
  <c r="C61" i="7"/>
  <c r="M44" i="4"/>
  <c r="C62" i="7" l="1"/>
  <c r="M45" i="4"/>
  <c r="B62" i="7"/>
  <c r="L45" i="4"/>
  <c r="B63" i="7" l="1"/>
  <c r="L46" i="4"/>
  <c r="C63" i="7"/>
  <c r="M46" i="4"/>
  <c r="C64" i="7" l="1"/>
  <c r="M47" i="4"/>
  <c r="B64" i="7"/>
  <c r="L47" i="4"/>
  <c r="B65" i="7" l="1"/>
  <c r="L48" i="4"/>
  <c r="C65" i="7"/>
  <c r="M48" i="4"/>
  <c r="C66" i="7" l="1"/>
  <c r="M49" i="4"/>
  <c r="B66" i="7"/>
  <c r="L49" i="4"/>
  <c r="B67" i="7" l="1"/>
  <c r="L50" i="4"/>
  <c r="C67" i="7"/>
  <c r="M50" i="4"/>
  <c r="K82" i="4"/>
  <c r="C68" i="7" l="1"/>
  <c r="M51" i="4"/>
  <c r="B68" i="7"/>
  <c r="L51" i="4"/>
  <c r="B69" i="7" l="1"/>
  <c r="L52" i="4"/>
  <c r="C69" i="7"/>
  <c r="M52" i="4"/>
  <c r="C70" i="7" l="1"/>
  <c r="R38" i="4"/>
  <c r="B70" i="7"/>
  <c r="Q38" i="4"/>
  <c r="B71" i="7" l="1"/>
  <c r="Q39" i="4"/>
  <c r="C71" i="7"/>
  <c r="R39" i="4"/>
  <c r="C72" i="7" l="1"/>
  <c r="R40" i="4"/>
  <c r="B72" i="7"/>
  <c r="Q40" i="4"/>
  <c r="B73" i="7" l="1"/>
  <c r="Q41" i="4"/>
  <c r="C73" i="7"/>
  <c r="R41" i="4"/>
  <c r="C74" i="7" l="1"/>
  <c r="R42" i="4"/>
  <c r="B74" i="7"/>
  <c r="Q42" i="4"/>
  <c r="B75" i="7" l="1"/>
  <c r="Q43" i="4"/>
  <c r="C75" i="7"/>
  <c r="D17" i="4"/>
  <c r="M104" i="4" s="1"/>
  <c r="J122" i="4" s="1"/>
  <c r="R43" i="4"/>
  <c r="C76" i="7" l="1"/>
  <c r="R44" i="4"/>
  <c r="J155" i="4"/>
  <c r="J123" i="4"/>
  <c r="J121" i="4"/>
  <c r="J145" i="4" s="1"/>
  <c r="B76" i="7"/>
  <c r="Q44" i="4"/>
  <c r="J124" i="4" l="1"/>
  <c r="J175" i="4" s="1"/>
  <c r="J165" i="4"/>
  <c r="B77" i="7"/>
  <c r="Q45" i="4"/>
  <c r="J152" i="4"/>
  <c r="J151" i="4"/>
  <c r="J154" i="4"/>
  <c r="J150" i="4"/>
  <c r="J153" i="4"/>
  <c r="J149" i="4"/>
  <c r="J144" i="4"/>
  <c r="J139" i="4"/>
  <c r="I51" i="17" s="1"/>
  <c r="J143" i="4"/>
  <c r="J141" i="4"/>
  <c r="J140" i="4"/>
  <c r="J142" i="4"/>
  <c r="I18" i="17" s="1"/>
  <c r="C77" i="7"/>
  <c r="R45" i="4"/>
  <c r="B78" i="7" l="1"/>
  <c r="Q46" i="4"/>
  <c r="J162" i="4"/>
  <c r="J164" i="4"/>
  <c r="J160" i="4"/>
  <c r="J163" i="4"/>
  <c r="J159" i="4"/>
  <c r="J161" i="4"/>
  <c r="C78" i="7"/>
  <c r="R46" i="4"/>
  <c r="J169" i="4"/>
  <c r="J171" i="4"/>
  <c r="J173" i="4"/>
  <c r="J172" i="4"/>
  <c r="J174" i="4"/>
  <c r="J170" i="4"/>
  <c r="C79" i="7" l="1"/>
  <c r="R47" i="4"/>
  <c r="B79" i="7"/>
  <c r="Q47" i="4"/>
  <c r="B80" i="7" l="1"/>
  <c r="Q48" i="4"/>
  <c r="C80" i="7"/>
  <c r="R48" i="4"/>
  <c r="C81" i="7" l="1"/>
  <c r="R49" i="4"/>
  <c r="B81" i="7"/>
  <c r="Q49" i="4"/>
  <c r="B82" i="7" l="1"/>
  <c r="Q51" i="4" s="1"/>
  <c r="Q50" i="4"/>
  <c r="C82" i="7"/>
  <c r="R51" i="4" s="1"/>
  <c r="Q97" i="4" s="1"/>
  <c r="G100" i="4" s="1"/>
  <c r="I122" i="4" s="1"/>
  <c r="R50" i="4"/>
  <c r="I155" i="4" l="1"/>
  <c r="I121" i="4"/>
  <c r="I145" i="4" s="1"/>
  <c r="I123" i="4"/>
  <c r="I124" i="4" l="1"/>
  <c r="I175" i="4" s="1"/>
  <c r="I165" i="4"/>
  <c r="I143" i="4"/>
  <c r="I139" i="4"/>
  <c r="H51" i="17" s="1"/>
  <c r="I142" i="4"/>
  <c r="H18" i="17" s="1"/>
  <c r="I141" i="4"/>
  <c r="I144" i="4"/>
  <c r="I140" i="4"/>
  <c r="I154" i="4"/>
  <c r="I150" i="4"/>
  <c r="I153" i="4"/>
  <c r="I149" i="4"/>
  <c r="I152" i="4"/>
  <c r="I151" i="4"/>
  <c r="I163" i="4" l="1"/>
  <c r="K304" i="17" s="1"/>
  <c r="I160" i="4"/>
  <c r="I162" i="4"/>
  <c r="H304" i="17" s="1"/>
  <c r="I159" i="4"/>
  <c r="E304" i="17" s="1"/>
  <c r="I164" i="4"/>
  <c r="N304" i="17" s="1"/>
  <c r="I161" i="4"/>
  <c r="I171" i="4"/>
  <c r="I174" i="4"/>
  <c r="I170" i="4"/>
  <c r="I173" i="4"/>
  <c r="I169" i="4"/>
  <c r="I172" i="4"/>
  <c r="M146" i="20"/>
  <c r="G146" i="20"/>
  <c r="L146" i="20"/>
  <c r="J146" i="20"/>
  <c r="N146" i="20"/>
  <c r="H146" i="20"/>
  <c r="F146" i="20"/>
  <c r="I146" i="20"/>
  <c r="K146" i="20"/>
  <c r="L141" i="20"/>
  <c r="E146" i="20"/>
  <c r="G191" i="20" s="1"/>
  <c r="H223" i="17" l="1"/>
  <c r="H167" i="17"/>
  <c r="N223" i="17"/>
  <c r="N167" i="17"/>
  <c r="E223" i="17"/>
  <c r="E167" i="17"/>
  <c r="N311" i="17"/>
  <c r="N309" i="17"/>
  <c r="N307" i="17"/>
  <c r="N312" i="17"/>
  <c r="N310" i="17"/>
  <c r="N308" i="17"/>
  <c r="N306" i="17"/>
  <c r="H312" i="17"/>
  <c r="H310" i="17"/>
  <c r="H308" i="17"/>
  <c r="H306" i="17"/>
  <c r="H311" i="17"/>
  <c r="H309" i="17"/>
  <c r="H307" i="17"/>
  <c r="K312" i="17"/>
  <c r="K310" i="17"/>
  <c r="K308" i="17"/>
  <c r="K306" i="17"/>
  <c r="K311" i="17"/>
  <c r="K309" i="17"/>
  <c r="K307" i="17"/>
  <c r="K223" i="17"/>
  <c r="K167" i="17"/>
  <c r="E306" i="17"/>
  <c r="E311" i="17"/>
  <c r="E309" i="17"/>
  <c r="E307" i="17"/>
  <c r="E312" i="17"/>
  <c r="E310" i="17"/>
  <c r="E308" i="17"/>
  <c r="K231" i="17" l="1"/>
  <c r="K229" i="17"/>
  <c r="K227" i="17"/>
  <c r="K225" i="17"/>
  <c r="K230" i="17"/>
  <c r="K228" i="17"/>
  <c r="K226" i="17"/>
  <c r="K170" i="17"/>
  <c r="K171" i="17"/>
  <c r="K172" i="17"/>
  <c r="K169" i="17"/>
  <c r="K174" i="17"/>
  <c r="K175" i="17"/>
  <c r="K173" i="17"/>
  <c r="E230" i="17"/>
  <c r="E228" i="17"/>
  <c r="E226" i="17"/>
  <c r="E231" i="17"/>
  <c r="E229" i="17"/>
  <c r="E227" i="17"/>
  <c r="E225" i="17"/>
  <c r="N231" i="17"/>
  <c r="N229" i="17"/>
  <c r="N227" i="17"/>
  <c r="N228" i="17"/>
  <c r="N225" i="17"/>
  <c r="N226" i="17"/>
  <c r="N230" i="17"/>
  <c r="H231" i="17"/>
  <c r="H229" i="17"/>
  <c r="H227" i="17"/>
  <c r="H225" i="17"/>
  <c r="H230" i="17"/>
  <c r="H228" i="17"/>
  <c r="H226" i="17"/>
  <c r="E175" i="17"/>
  <c r="E173" i="17"/>
  <c r="E169" i="17"/>
  <c r="E171" i="17"/>
  <c r="E174" i="17"/>
  <c r="E172" i="17"/>
  <c r="E170" i="17"/>
  <c r="N174" i="17"/>
  <c r="N169" i="17"/>
  <c r="N171" i="17"/>
  <c r="N175" i="17"/>
  <c r="N173" i="17"/>
  <c r="N172" i="17"/>
  <c r="N170" i="17"/>
  <c r="H175" i="17"/>
  <c r="H173" i="17"/>
  <c r="H169" i="17"/>
  <c r="H171" i="17"/>
  <c r="H174" i="17"/>
  <c r="H172" i="17"/>
  <c r="H170" i="17"/>
</calcChain>
</file>

<file path=xl/sharedStrings.xml><?xml version="1.0" encoding="utf-8"?>
<sst xmlns="http://schemas.openxmlformats.org/spreadsheetml/2006/main" count="3231" uniqueCount="904">
  <si>
    <t>Federal Railroad Administration</t>
  </si>
  <si>
    <t>High Speed Rail Noise Standards and Regulations</t>
  </si>
  <si>
    <t>Spreadsheet-Based Tool for Comparing Noise Standards and Regulations</t>
  </si>
  <si>
    <t>Program Key Features:</t>
  </si>
  <si>
    <t>Conversion Tool for Noise Regulations and Standards to Common Reference</t>
  </si>
  <si>
    <t xml:space="preserve">Program Version: </t>
  </si>
  <si>
    <t>Input:</t>
  </si>
  <si>
    <t>Selection of Train Sets</t>
  </si>
  <si>
    <t>Current Library:</t>
  </si>
  <si>
    <t>Data Set Name:</t>
  </si>
  <si>
    <t>Korean HEMU-430X</t>
  </si>
  <si>
    <t>Hyundai Rotem</t>
  </si>
  <si>
    <t>Operator:</t>
  </si>
  <si>
    <t>Korail</t>
  </si>
  <si>
    <t xml:space="preserve">   End Cars:</t>
  </si>
  <si>
    <t>m</t>
  </si>
  <si>
    <t xml:space="preserve">   Intermediate Cars:</t>
  </si>
  <si>
    <t>Test Train Length:</t>
  </si>
  <si>
    <t>Units</t>
  </si>
  <si>
    <t>km/hr</t>
  </si>
  <si>
    <t>sec</t>
  </si>
  <si>
    <t xml:space="preserve">   Number of End Cars:</t>
  </si>
  <si>
    <t>Microphone Position:</t>
  </si>
  <si>
    <t xml:space="preserve">  Distance from Track Centerline:</t>
  </si>
  <si>
    <t xml:space="preserve">  Elevation above Top of Rail:</t>
  </si>
  <si>
    <t>Number of Pass-By Data Points:</t>
  </si>
  <si>
    <t>Sound Pressure (Pa)</t>
  </si>
  <si>
    <t>Time (sec)</t>
  </si>
  <si>
    <t>dB(A)</t>
  </si>
  <si>
    <t>Parameter</t>
  </si>
  <si>
    <t>Value</t>
  </si>
  <si>
    <r>
      <t xml:space="preserve">Time Increment for Pass-By Data, </t>
    </r>
    <r>
      <rPr>
        <sz val="11"/>
        <color theme="1"/>
        <rFont val="Arial"/>
        <family val="2"/>
      </rPr>
      <t>Δ</t>
    </r>
    <r>
      <rPr>
        <sz val="11"/>
        <color theme="1"/>
        <rFont val="Calibri"/>
        <family val="2"/>
      </rPr>
      <t>T:</t>
    </r>
  </si>
  <si>
    <t>Data Set Number</t>
  </si>
  <si>
    <t xml:space="preserve">   Number of Intermediate Cars:</t>
  </si>
  <si>
    <t>Data Set Name</t>
  </si>
  <si>
    <t>Train Set</t>
  </si>
  <si>
    <t>Manufacturer</t>
  </si>
  <si>
    <t>Operator</t>
  </si>
  <si>
    <t>Train Length (m)</t>
  </si>
  <si>
    <t>Test Train Speed (km/hr)</t>
  </si>
  <si>
    <t>Microphone Position</t>
  </si>
  <si>
    <t>Distance from Track Centerline (m)</t>
  </si>
  <si>
    <t>Elevation above Top of Rail (m)</t>
  </si>
  <si>
    <r>
      <t>Pass-By Time, T</t>
    </r>
    <r>
      <rPr>
        <b/>
        <vertAlign val="subscript"/>
        <sz val="11"/>
        <color theme="1"/>
        <rFont val="Calibri"/>
        <family val="2"/>
        <scheme val="minor"/>
      </rPr>
      <t>p</t>
    </r>
    <r>
      <rPr>
        <b/>
        <sz val="11"/>
        <color theme="1"/>
        <rFont val="Calibri"/>
        <family val="2"/>
        <scheme val="minor"/>
      </rPr>
      <t xml:space="preserve"> (sec)</t>
    </r>
  </si>
  <si>
    <t>Pa</t>
  </si>
  <si>
    <t xml:space="preserve">i.  Determine pass-by noise level at boundary of railroad property, </t>
  </si>
  <si>
    <t>i.  Determine pass-by noise level at boundary of railroad property,</t>
  </si>
  <si>
    <t>ii.  Provide indication whether noise barriers are required</t>
  </si>
  <si>
    <t xml:space="preserve">    The program is based on a library of pass-by SPL data obtained using test procedures prescribed by</t>
  </si>
  <si>
    <t xml:space="preserve">     agencies having jurisdiction, such as European Railway Agency (EU), U.S. Environmental Protection Agency,</t>
  </si>
  <si>
    <t xml:space="preserve">     Using the basic</t>
  </si>
  <si>
    <t xml:space="preserve">     Japan Ministry of the Environment, and the China Ministry of Transport.</t>
  </si>
  <si>
    <t>iii. Compare results to US FRA Noise Regulations (locomotives and rail cars)</t>
  </si>
  <si>
    <t xml:space="preserve">      at speeds greater than 45 mph (72.4 km/hr)</t>
  </si>
  <si>
    <t xml:space="preserve">   (microphone elevation is 1.2 m (4 ft) above track elevation)</t>
  </si>
  <si>
    <r>
      <rPr>
        <b/>
        <sz val="11"/>
        <color theme="1"/>
        <rFont val="Calibri"/>
        <family val="2"/>
      </rPr>
      <t>•</t>
    </r>
    <r>
      <rPr>
        <b/>
        <sz val="11"/>
        <color theme="1"/>
        <rFont val="Arial"/>
        <family val="2"/>
      </rPr>
      <t xml:space="preserve">  Spreadsheet-Based Tool for Comparing Noise Standards and Regulations</t>
    </r>
  </si>
  <si>
    <r>
      <rPr>
        <b/>
        <sz val="11"/>
        <color theme="1"/>
        <rFont val="Calibri"/>
        <family val="2"/>
      </rPr>
      <t>•</t>
    </r>
    <r>
      <rPr>
        <b/>
        <sz val="11"/>
        <color theme="1"/>
        <rFont val="Arial"/>
        <family val="2"/>
      </rPr>
      <t xml:space="preserve">  Conversion Tool for Noise Regulations and Standards to Common Reference</t>
    </r>
  </si>
  <si>
    <t>Five Year Strategic Plan (FY 2019-2013), 2018.</t>
  </si>
  <si>
    <t>iii. Compare results to TSI Noise Regulations (electric locomotives)</t>
  </si>
  <si>
    <t xml:space="preserve">     defined as 25 m (82 ft) from outer track centerline and 1.2 m (4 ft) above top of rail</t>
  </si>
  <si>
    <r>
      <t>ii. Normalize L</t>
    </r>
    <r>
      <rPr>
        <vertAlign val="subscript"/>
        <sz val="11"/>
        <color theme="1"/>
        <rFont val="Calibri"/>
        <family val="2"/>
        <scheme val="minor"/>
      </rPr>
      <t>pAeq,Tp</t>
    </r>
    <r>
      <rPr>
        <sz val="11"/>
        <color theme="1"/>
        <rFont val="Calibri"/>
        <family val="2"/>
        <scheme val="minor"/>
      </rPr>
      <t xml:space="preserve"> data to 80 km/hr (50 mph) and 250 km/hr (155 mph) per TSI 1304 (2014)</t>
    </r>
  </si>
  <si>
    <t xml:space="preserve">      at reference speeds of 80 km/hr (50 mph) and 250 km/hr (155 mph)</t>
  </si>
  <si>
    <t xml:space="preserve">     defined as 30 m (100 ft) from outer track centerline and 1.2 m (4 ft) above top of rail</t>
  </si>
  <si>
    <r>
      <t xml:space="preserve">Acela Graphic Reference:  National Railroad Passenger Corporation, </t>
    </r>
    <r>
      <rPr>
        <i/>
        <sz val="9"/>
        <color theme="1"/>
        <rFont val="Calibri"/>
        <family val="2"/>
        <scheme val="minor"/>
      </rPr>
      <t>Amtrak Fiver Year Service Line Plans</t>
    </r>
    <r>
      <rPr>
        <sz val="9"/>
        <color theme="1"/>
        <rFont val="Calibri"/>
        <family val="2"/>
        <scheme val="minor"/>
      </rPr>
      <t xml:space="preserve">, Base (FY 2018) + </t>
    </r>
  </si>
  <si>
    <t>Train pass-by sound pressure data is to be obtained using measurement procedures as defined by the respective regulations.</t>
  </si>
  <si>
    <t>1. United States</t>
  </si>
  <si>
    <t>•  Instrumentation</t>
  </si>
  <si>
    <t>•  Measurement Procedures</t>
  </si>
  <si>
    <t>Measurements are to be made using a sound level meter or alternate sound level measurement system that meets,</t>
  </si>
  <si>
    <t xml:space="preserve">as a minimum, all the requirements of American National Standard S1.419711 for a Type 1 (or S1A) instrument, to be </t>
  </si>
  <si>
    <t xml:space="preserve">used with the "fast" or "slow" meter response characteristic.  </t>
  </si>
  <si>
    <t xml:space="preserve">In the event that a Type 1 instrument is not available, the measurements may be made with a Type 2 instruement, but </t>
  </si>
  <si>
    <t>measured sound pressure levels are to be adjusted to account for possible instrument errors.</t>
  </si>
  <si>
    <t>American National Standard S1.419711.</t>
  </si>
  <si>
    <t>Per U.S. Interstate Rail Carriers Noise Regulations, 40CFR Part 201.24, US EPA Measurement Criteria</t>
  </si>
  <si>
    <t>The microphone is to be located at an elevation of 1.2 m (4 ft) above the track.</t>
  </si>
  <si>
    <t>from the track centerline.</t>
  </si>
  <si>
    <t>Brake squeal should not be present and tracks are to be well maintained (see TSI roughness requirements below).</t>
  </si>
  <si>
    <t>Per U.S. Interstate Rail Carriers Noise Regulations, 40CFR Part 201.25, US EPA Measurement Criteria</t>
  </si>
  <si>
    <t>Measurement locations must be selected such that no substantially vertical plane surface, other than a residential</t>
  </si>
  <si>
    <t>or commercial unit wall or facility boundary noise barrier, that exceeds 1.2 meters (4 feet) in height is located within</t>
  </si>
  <si>
    <t xml:space="preserve">10 meters (33.3 feet) of the microphone and that no exterior wall of a residential or commercial structure is located within </t>
  </si>
  <si>
    <t>2.0 meters (6.6 feet) of the microphone.</t>
  </si>
  <si>
    <t>Average wind velocity should be 12 mph (19.3 km/hr) or less and maximum wind gust must be 20 mph (32.2 km/hr) or less.</t>
  </si>
  <si>
    <r>
      <t xml:space="preserve">FRA references ISO Standard 3095: </t>
    </r>
    <r>
      <rPr>
        <i/>
        <sz val="11"/>
        <color theme="1"/>
        <rFont val="Calibri"/>
        <family val="2"/>
        <scheme val="minor"/>
      </rPr>
      <t>Railway Applications - Acoustics - Measurement of Noise Emitted by Railbound Vehicles</t>
    </r>
  </si>
  <si>
    <t>2. European Union</t>
  </si>
  <si>
    <t xml:space="preserve">  </t>
  </si>
  <si>
    <t>The microphones shall have an essentially flat frequency response in a free sound field.</t>
  </si>
  <si>
    <t>The 1/3 octave band filters shall meet the requirements of class 1 according to EN 61260.</t>
  </si>
  <si>
    <t>A suitable windscreen shall always be used.</t>
  </si>
  <si>
    <t>The instrumentation system, including the microphones, cables and recording devices shall meet the requirements for</t>
  </si>
  <si>
    <t>a type 1 instrument specified in EN 61672-1.</t>
  </si>
  <si>
    <t>The date of the last verification of the compliance with the relevant European Standards shall be recorded.</t>
  </si>
  <si>
    <t xml:space="preserve">Before and after each series of measurements a sound calibrator meeting the requirements of class 1 according to EN 60942 </t>
  </si>
  <si>
    <t xml:space="preserve">shall be applied to the microphone(s) for verifying the calibration of the entire measuring system at one or more frequencies </t>
  </si>
  <si>
    <t>measurement results shall be rejected.</t>
  </si>
  <si>
    <t xml:space="preserve">over the frequency range of interest. If the difference between the two calibrations is more than 0.5 dB all the </t>
  </si>
  <si>
    <t xml:space="preserve">The compliance of the calibrator with the requirements of EN 60942 shall be verified at least once a year. The compliance of </t>
  </si>
  <si>
    <t>the instrumentation system with the requirements of EN 61672-1 and EN 61672-2 shall be verified at least every 2 years.</t>
  </si>
  <si>
    <t xml:space="preserve">Test Environment: must meet acoustical environment (ground flatness, free of large reflecting objects), meteorological </t>
  </si>
  <si>
    <t>conditions (no rain or falling snow), and background sound pressure levels (10 dB below value during pass-by event).</t>
  </si>
  <si>
    <t>Microphone Positions: permitted positions are summarized below:</t>
  </si>
  <si>
    <t xml:space="preserve">Vehicle Conditions:  </t>
  </si>
  <si>
    <t>is to be unloaded and unoccupied except for the train crew.  Doors and windows are to be kept closed and normally-</t>
  </si>
  <si>
    <t>operating auxiliary equipment shall be in action.</t>
  </si>
  <si>
    <t xml:space="preserve">Track Conditions:  the track is to meet guidelines specified in ISO 3095 including levelness, curvature, and roughness. </t>
  </si>
  <si>
    <t>third octave bands according to EN ISO 266.</t>
  </si>
  <si>
    <t>3. China</t>
  </si>
  <si>
    <t>Per EN ISO 3095: 2013, Acoustics - Railway Applications - Measurement of Noise Emitted by Railbound Vehicles</t>
  </si>
  <si>
    <t xml:space="preserve">The A-weighted levels for the instrument "fast" or "slow" meter response characteristics are to be as defined in </t>
  </si>
  <si>
    <r>
      <t xml:space="preserve">Chinese Standard </t>
    </r>
    <r>
      <rPr>
        <i/>
        <sz val="11"/>
        <color theme="1"/>
        <rFont val="Calibri"/>
        <family val="2"/>
        <scheme val="minor"/>
      </rPr>
      <t>GB/T 3785.2-2010, Sound Level Meters</t>
    </r>
    <r>
      <rPr>
        <sz val="11"/>
        <color theme="1"/>
        <rFont val="Calibri"/>
        <family val="2"/>
        <scheme val="minor"/>
      </rPr>
      <t xml:space="preserve"> applies to multi-channel sound
level meters, testing and test methods for </t>
    </r>
  </si>
  <si>
    <t>Class l and 2 sound level meters.  Its purpose is to ensure that all testing laboratories can perform a consistent evaluation tests.</t>
  </si>
  <si>
    <t>GB 9254-2008 Radio disturbance limits and measurement methods for information technology equipment (CISPR22..1997, IDT)</t>
  </si>
  <si>
    <t>GB/T 17312 sound level meter random incidence and diffusion field calibration (GB/T 17312-1998, eqvIEC 61183..1994)</t>
  </si>
  <si>
    <t>ISO /IEC , International Basic and General Metrology terminology</t>
  </si>
  <si>
    <t>Vehicle shall have run in normal conditions at least 3,000 km on track with normal traffic.  The train</t>
  </si>
  <si>
    <t>Instruments must meet the following standards (compatible with global standards IEC 651 &amp; ANSI S1.4):</t>
  </si>
  <si>
    <r>
      <rPr>
        <sz val="11"/>
        <color theme="1"/>
        <rFont val="Calibri"/>
        <family val="2"/>
        <scheme val="minor"/>
      </rPr>
      <t xml:space="preserve">Per </t>
    </r>
    <r>
      <rPr>
        <i/>
        <sz val="11"/>
        <color theme="1"/>
        <rFont val="Calibri"/>
        <family val="2"/>
        <scheme val="minor"/>
      </rPr>
      <t>EN ISO 3095: 2013, Acoustics - Railway Applications - Measurement of Noise Emitted by Railbound Vehicles</t>
    </r>
  </si>
  <si>
    <t>4. Japan</t>
  </si>
  <si>
    <r>
      <t>ii. Determine L</t>
    </r>
    <r>
      <rPr>
        <vertAlign val="subscript"/>
        <sz val="11"/>
        <color theme="1"/>
        <rFont val="Calibri"/>
        <family val="2"/>
        <scheme val="minor"/>
      </rPr>
      <t>max(fast)</t>
    </r>
    <r>
      <rPr>
        <sz val="11"/>
        <color theme="1"/>
        <rFont val="Calibri"/>
        <family val="2"/>
        <scheme val="minor"/>
      </rPr>
      <t xml:space="preserve"> for selected train set at 30 m from track centerline and 1.2 m elevation</t>
    </r>
  </si>
  <si>
    <t>GB/T 3785.1-2010 electroacoustics sound level meter - Part 1. Specifications (IEC 61672-1..2002, IDT): sound meter performance</t>
  </si>
  <si>
    <t>GB/T 15173 (IEC 60942) electroacoustic sound calibrator</t>
  </si>
  <si>
    <t>Compliance with ISO 11201:95 Acoustics - Noise Emitted by Machinery and Equipment (Free Field over a Reflecting Plane)</t>
  </si>
  <si>
    <t>Compliance with ISO 112012:95 Acoustics - Noise Emitted by Machinery and Equipment (Environmental Corrections)</t>
  </si>
  <si>
    <t>Japanese Noise Instrument Standards and Corresponding ISO Standards</t>
  </si>
  <si>
    <t>JIS Number</t>
  </si>
  <si>
    <t>Measured Quantity</t>
  </si>
  <si>
    <t>Measurement Environment</t>
  </si>
  <si>
    <t>Accuracy Grade</t>
  </si>
  <si>
    <t>Corresponding ISO Standard</t>
  </si>
  <si>
    <t>Z 8731:1999</t>
  </si>
  <si>
    <t>Sound Pressure</t>
  </si>
  <si>
    <t>Free-Field &amp; Hemi-Field</t>
  </si>
  <si>
    <t>Engineering</t>
  </si>
  <si>
    <t>ISO 1996-1:2016</t>
  </si>
  <si>
    <t>Z 8732:xxxx</t>
  </si>
  <si>
    <t>Precision</t>
  </si>
  <si>
    <t>ISO/DIS 3745</t>
  </si>
  <si>
    <t>Z 8733:xxxx</t>
  </si>
  <si>
    <t>Approximately Hemi Free-Field</t>
  </si>
  <si>
    <t>ISO 3744:94</t>
  </si>
  <si>
    <t>Z 8734:xxxx</t>
  </si>
  <si>
    <t>Reverberant</t>
  </si>
  <si>
    <t>ISO 3741:99</t>
  </si>
  <si>
    <t>Z 8736-1:99</t>
  </si>
  <si>
    <t>Sound Intensity</t>
  </si>
  <si>
    <t>Any</t>
  </si>
  <si>
    <t>Precision, Engineering, Survey</t>
  </si>
  <si>
    <t>ISO 9614-1:93</t>
  </si>
  <si>
    <t>Z 8735-2</t>
  </si>
  <si>
    <t>Engineering, Survey</t>
  </si>
  <si>
    <t>ISO 9614-2:96</t>
  </si>
  <si>
    <t>JIS = Japanese Industrial Standard</t>
  </si>
  <si>
    <t xml:space="preserve">Instrumentation must comply with JIS C1502 which requires the precision noise meter prescribed by International Electric Standards Conference (IESC) </t>
  </si>
  <si>
    <t>Publication 179</t>
  </si>
  <si>
    <t xml:space="preserve">Reference: </t>
  </si>
  <si>
    <t xml:space="preserve">Ministry of the Environment, Government of Japan, "Environmental Quality Standards for Shinkansen Superexpress Railway Noise, </t>
  </si>
  <si>
    <t>Notification No. 91," Japan Ministry of the Environment, Tokyo, Japan, 1993.</t>
  </si>
  <si>
    <t xml:space="preserve">the ground in the open air along the railway line with the measuring point located at 25 m (82 ft) from the centre line of the near side of the track. </t>
  </si>
  <si>
    <t>This is not applicable in sparsely inhabited forests, agricultural lands etc.</t>
  </si>
  <si>
    <t xml:space="preserve">The Shinkansen Superexpress Railway Noise regulation requires a power mean of the peak noise level shall be measured at 1.2 m (3.94 ft) above </t>
  </si>
  <si>
    <t>According to the environmental quality standards for the Shinkansen Superexpress, noise measurements are to be performed as described below:</t>
  </si>
  <si>
    <t xml:space="preserve">• Any period when there are special weather conditions or when the speed of the trains is lower than normal shall not be considered </t>
  </si>
  <si>
    <t xml:space="preserve">• The Shinkansen railway noise shall be evaluated by the energy mean value of the higher half of the measured peak noise levels </t>
  </si>
  <si>
    <t>• The environmental quality standards shall apply between 6AM to 12 Midnight</t>
  </si>
  <si>
    <t>• Measurement are to be carried out by recording the peak noise level of each of the Shinkansen trains passing in both the directions,</t>
  </si>
  <si>
    <t xml:space="preserve">    in principle for 20 successive trains</t>
  </si>
  <si>
    <r>
      <rPr>
        <sz val="11"/>
        <color theme="1"/>
        <rFont val="Calibri"/>
        <family val="2"/>
      </rPr>
      <t>•</t>
    </r>
    <r>
      <rPr>
        <sz val="9.9"/>
        <color theme="1"/>
        <rFont val="Calibri"/>
        <family val="2"/>
      </rPr>
      <t xml:space="preserve"> </t>
    </r>
    <r>
      <rPr>
        <sz val="11"/>
        <color theme="1"/>
        <rFont val="Calibri"/>
        <family val="2"/>
        <scheme val="minor"/>
      </rPr>
      <t xml:space="preserve">Measurement shall be carried out outdoors and in principle at the height of 1.2m above the ground. Measurement points shall be selected to </t>
    </r>
  </si>
  <si>
    <t xml:space="preserve">   represent Shinkansen railway noise levels in the area concerned as well as the points where the noise is posing a problem</t>
  </si>
  <si>
    <t xml:space="preserve">• The measuring instrument used shall be a noise meter that meets the requirements of Article 88 of the measuring Law (Law no 207 of 1951), </t>
  </si>
  <si>
    <t xml:space="preserve">   with A weighted calibration &amp; slow dynamic response </t>
  </si>
  <si>
    <t xml:space="preserve">GB/T 17799.2-2003 Electromagnetic compatibility - General standards - Immunity test in industrial environments </t>
  </si>
  <si>
    <t>(IEC 61000-6-2..1999,IDT)</t>
  </si>
  <si>
    <t xml:space="preserve">IEC 61000-4-3..2002 Electromagnetic compatibility (EMC) - Part 4-3. Test and measurement techniques radio frequency </t>
  </si>
  <si>
    <t>electromagnetic radiation immunity Test 2)</t>
  </si>
  <si>
    <t xml:space="preserve">IEC 61000-4-2..2001 Electromagnetic compatibility (EMC) - Part 4-2. Test and measurement techniques Electrostatic </t>
  </si>
  <si>
    <t>discharge immunity test 1)</t>
  </si>
  <si>
    <t xml:space="preserve">IEC 61000-4-6..2001 Electromagnetic compatibility (EMC) - Part 4-6. Test and measurement techniques Conducted disturbance </t>
  </si>
  <si>
    <t>of radio frequency field induction Immunity 3)</t>
  </si>
  <si>
    <t xml:space="preserve">Measurement of microphones - Part 1. Specification for laboratory standard microphones (IEC 61094-1..2000); ISO Presentation </t>
  </si>
  <si>
    <t>Guide, Guidance on Measurement Uncertainty</t>
  </si>
  <si>
    <t>Part 1. Radio frequency interference and immunity test.</t>
  </si>
  <si>
    <t xml:space="preserve">CISPR16-1..1999 Specification for radio frequency interference and immunity test instruments and methods: </t>
  </si>
  <si>
    <t xml:space="preserve">Per Chinese Regulation GB 12525-90.  The regulation requires five measurement points to be taken at the border of the railway </t>
  </si>
  <si>
    <t xml:space="preserve">property with the  microphone located 1.2 m (3.94 ft) above the ground and not less than 1 m (3.28 ft) from a reflective surface.  </t>
  </si>
  <si>
    <t>Measurements are taken at a distance of 30 m (98.4 ft) from the centerline of the outer track.</t>
  </si>
  <si>
    <t xml:space="preserve">Measuring conditions should meet the GB 3222 standards (Measurement Methods for Community Noise which states measurements </t>
  </si>
  <si>
    <t xml:space="preserve">should be taken in the absence of rain or snow.  Measurement time to be day or night; 16 hours is the duration for day </t>
  </si>
  <si>
    <t>measurements and 8 hours is the duration for night measurements.</t>
  </si>
  <si>
    <t>Test Train Speed(s):</t>
  </si>
  <si>
    <t xml:space="preserve"> </t>
  </si>
  <si>
    <t>Regulations (US, EU, China, Japan)</t>
  </si>
  <si>
    <t>Data Point Number</t>
  </si>
  <si>
    <t>Note: this spreadsheet-based program was developed by Ricardo Strategic Consulting for the Federal Railroad Administration under</t>
  </si>
  <si>
    <t>Contract Number 693JJ618C000020</t>
  </si>
  <si>
    <t>http://www.soundviewinstr.com/high-speed-train-noise/ and http://www.soundviewinstr.com/virtual-train/</t>
  </si>
  <si>
    <t>Event</t>
  </si>
  <si>
    <t xml:space="preserve">Data Set Number:  </t>
  </si>
  <si>
    <t>Year Data Set was Generated:</t>
  </si>
  <si>
    <t>Train Set Manufacturer:</t>
  </si>
  <si>
    <t>Train Set Information</t>
  </si>
  <si>
    <t>Train Set Geometry and Test Conditions</t>
  </si>
  <si>
    <t>Car Lengths</t>
  </si>
  <si>
    <t>References</t>
  </si>
  <si>
    <t>Plot of Passby Noise Data, Including Key Time Parameters</t>
  </si>
  <si>
    <t>Calculate Train Passby Parameters</t>
  </si>
  <si>
    <r>
      <t>Calculate L</t>
    </r>
    <r>
      <rPr>
        <b/>
        <vertAlign val="subscript"/>
        <sz val="11"/>
        <color theme="1"/>
        <rFont val="Calibri"/>
        <family val="2"/>
        <scheme val="minor"/>
      </rPr>
      <t>pAeq,Tp</t>
    </r>
  </si>
  <si>
    <t>Formulas</t>
  </si>
  <si>
    <t>where 0.0002 is the reference sound pressure level in Pascals</t>
  </si>
  <si>
    <r>
      <t>dB (sound pressure level in decibels) = 20 log</t>
    </r>
    <r>
      <rPr>
        <vertAlign val="subscript"/>
        <sz val="11"/>
        <color theme="1"/>
        <rFont val="Calibri"/>
        <family val="2"/>
        <scheme val="minor"/>
      </rPr>
      <t>10</t>
    </r>
    <r>
      <rPr>
        <sz val="11"/>
        <color theme="1"/>
        <rFont val="Calibri"/>
        <family val="2"/>
        <scheme val="minor"/>
      </rPr>
      <t xml:space="preserve">(Pa/0.00002) </t>
    </r>
  </si>
  <si>
    <r>
      <t>so, Pa = 0.00002*10</t>
    </r>
    <r>
      <rPr>
        <vertAlign val="superscript"/>
        <sz val="11"/>
        <color theme="1"/>
        <rFont val="Calibri"/>
        <family val="2"/>
        <scheme val="minor"/>
      </rPr>
      <t>(dB/20)</t>
    </r>
  </si>
  <si>
    <r>
      <t>1</t>
    </r>
    <r>
      <rPr>
        <sz val="9"/>
        <color theme="1"/>
        <rFont val="Calibri"/>
        <family val="2"/>
        <scheme val="minor"/>
      </rPr>
      <t xml:space="preserve">SoundView Instruments, High-Speed Train Noise, South Korea HEMU, Virtual Train,2016, </t>
    </r>
  </si>
  <si>
    <r>
      <t>Passby Data</t>
    </r>
    <r>
      <rPr>
        <b/>
        <vertAlign val="superscript"/>
        <sz val="10"/>
        <rFont val="Calibri"/>
        <family val="2"/>
        <scheme val="minor"/>
      </rPr>
      <t>1</t>
    </r>
  </si>
  <si>
    <t xml:space="preserve">where </t>
  </si>
  <si>
    <r>
      <t>T</t>
    </r>
    <r>
      <rPr>
        <vertAlign val="subscript"/>
        <sz val="11"/>
        <color theme="1"/>
        <rFont val="Calibri"/>
        <family val="2"/>
        <scheme val="minor"/>
      </rPr>
      <t>p</t>
    </r>
  </si>
  <si>
    <r>
      <t>is the passby time interval = time when trail tail passes microphone minus time when train nose passes microphone = T</t>
    </r>
    <r>
      <rPr>
        <vertAlign val="subscript"/>
        <sz val="11"/>
        <color theme="1"/>
        <rFont val="Calibri"/>
        <family val="2"/>
        <scheme val="minor"/>
      </rPr>
      <t>2</t>
    </r>
    <r>
      <rPr>
        <sz val="11"/>
        <color theme="1"/>
        <rFont val="Calibri"/>
        <family val="2"/>
        <scheme val="minor"/>
      </rPr>
      <t xml:space="preserve"> - T</t>
    </r>
    <r>
      <rPr>
        <vertAlign val="subscript"/>
        <sz val="11"/>
        <color theme="1"/>
        <rFont val="Calibri"/>
        <family val="2"/>
        <scheme val="minor"/>
      </rPr>
      <t>1</t>
    </r>
  </si>
  <si>
    <r>
      <t>T</t>
    </r>
    <r>
      <rPr>
        <vertAlign val="subscript"/>
        <sz val="11"/>
        <color theme="1"/>
        <rFont val="Calibri"/>
        <family val="2"/>
        <scheme val="minor"/>
      </rPr>
      <t>1</t>
    </r>
  </si>
  <si>
    <t>is the time when the train nose passes the microphone</t>
  </si>
  <si>
    <r>
      <t>T</t>
    </r>
    <r>
      <rPr>
        <vertAlign val="subscript"/>
        <sz val="11"/>
        <color theme="1"/>
        <rFont val="Calibri"/>
        <family val="2"/>
        <scheme val="minor"/>
      </rPr>
      <t>2</t>
    </r>
  </si>
  <si>
    <t>is the time when the train tail passes the microphone</t>
  </si>
  <si>
    <t xml:space="preserve">is the reference sound pressure:  </t>
  </si>
  <si>
    <r>
      <rPr>
        <sz val="11"/>
        <color theme="1"/>
        <rFont val="Calibri"/>
        <family val="2"/>
        <scheme val="minor"/>
      </rPr>
      <t>p</t>
    </r>
    <r>
      <rPr>
        <vertAlign val="subscript"/>
        <sz val="11"/>
        <color theme="1"/>
        <rFont val="Calibri"/>
        <family val="2"/>
        <scheme val="minor"/>
      </rPr>
      <t>0</t>
    </r>
  </si>
  <si>
    <r>
      <t>L</t>
    </r>
    <r>
      <rPr>
        <vertAlign val="subscript"/>
        <sz val="11"/>
        <color theme="1"/>
        <rFont val="Calibri"/>
        <family val="2"/>
        <scheme val="minor"/>
      </rPr>
      <t>pAeq,Tp</t>
    </r>
    <r>
      <rPr>
        <sz val="11"/>
        <color theme="1"/>
        <rFont val="Calibri"/>
        <family val="2"/>
        <scheme val="minor"/>
      </rPr>
      <t xml:space="preserve"> can be calculated from the passby data using the following relationship:</t>
    </r>
  </si>
  <si>
    <r>
      <t>L</t>
    </r>
    <r>
      <rPr>
        <vertAlign val="subscript"/>
        <sz val="11"/>
        <color theme="1"/>
        <rFont val="Calibri"/>
        <family val="2"/>
        <scheme val="minor"/>
      </rPr>
      <t>pAeq,Tp</t>
    </r>
    <r>
      <rPr>
        <sz val="11"/>
        <color theme="1"/>
        <rFont val="Calibri"/>
        <family val="2"/>
        <scheme val="minor"/>
      </rPr>
      <t xml:space="preserve"> is the A-weighted equivalent continuous sound pressure level produced </t>
    </r>
  </si>
  <si>
    <t xml:space="preserve">by the train as measured during the pass-by event </t>
  </si>
  <si>
    <r>
      <rPr>
        <sz val="11"/>
        <color theme="1"/>
        <rFont val="Times New Roman"/>
        <family val="1"/>
      </rPr>
      <t>Δ</t>
    </r>
    <r>
      <rPr>
        <sz val="11"/>
        <color theme="1"/>
        <rFont val="Calibri"/>
        <family val="2"/>
        <scheme val="minor"/>
      </rPr>
      <t>t</t>
    </r>
    <r>
      <rPr>
        <vertAlign val="subscript"/>
        <sz val="11"/>
        <color theme="1"/>
        <rFont val="Calibri"/>
        <family val="2"/>
        <scheme val="minor"/>
      </rPr>
      <t>i</t>
    </r>
  </si>
  <si>
    <r>
      <t>P</t>
    </r>
    <r>
      <rPr>
        <vertAlign val="subscript"/>
        <sz val="11"/>
        <color theme="1"/>
        <rFont val="Calibri"/>
        <family val="2"/>
        <scheme val="minor"/>
      </rPr>
      <t>A</t>
    </r>
    <r>
      <rPr>
        <sz val="11"/>
        <color theme="1"/>
        <rFont val="Calibri"/>
        <family val="2"/>
        <scheme val="minor"/>
      </rPr>
      <t>(t)</t>
    </r>
  </si>
  <si>
    <t>is the A-weighted instantaneous sound pressure in Pa at time t</t>
  </si>
  <si>
    <r>
      <t>P</t>
    </r>
    <r>
      <rPr>
        <vertAlign val="subscript"/>
        <sz val="11"/>
        <color theme="1"/>
        <rFont val="Calibri"/>
        <family val="2"/>
        <scheme val="minor"/>
      </rPr>
      <t>A</t>
    </r>
    <r>
      <rPr>
        <sz val="11"/>
        <color theme="1"/>
        <rFont val="Calibri"/>
        <family val="2"/>
        <scheme val="minor"/>
      </rPr>
      <t>(i)</t>
    </r>
  </si>
  <si>
    <t>is the A-weighted instantaneous sound pressure in Pa at passby time increment i</t>
  </si>
  <si>
    <t>SPL  dB(A)</t>
  </si>
  <si>
    <t>SPL  Pascals (Pa)</t>
  </si>
  <si>
    <r>
      <t>p</t>
    </r>
    <r>
      <rPr>
        <vertAlign val="subscript"/>
        <sz val="11"/>
        <color theme="1"/>
        <rFont val="Calibri"/>
        <family val="2"/>
        <scheme val="minor"/>
      </rPr>
      <t>0</t>
    </r>
    <r>
      <rPr>
        <sz val="11"/>
        <color theme="1"/>
        <rFont val="Calibri"/>
        <family val="2"/>
        <scheme val="minor"/>
      </rPr>
      <t xml:space="preserve"> = 20μPa =</t>
    </r>
  </si>
  <si>
    <r>
      <t>P</t>
    </r>
    <r>
      <rPr>
        <b/>
        <vertAlign val="subscript"/>
        <sz val="11"/>
        <color theme="1"/>
        <rFont val="Calibri"/>
        <family val="2"/>
        <scheme val="minor"/>
      </rPr>
      <t>A</t>
    </r>
    <r>
      <rPr>
        <b/>
        <sz val="11"/>
        <color theme="1"/>
        <rFont val="Calibri"/>
        <family val="2"/>
        <scheme val="minor"/>
      </rPr>
      <t>(i)</t>
    </r>
    <r>
      <rPr>
        <b/>
        <vertAlign val="superscript"/>
        <sz val="11"/>
        <color theme="1"/>
        <rFont val="Calibri"/>
        <family val="2"/>
        <scheme val="minor"/>
      </rPr>
      <t>2</t>
    </r>
    <r>
      <rPr>
        <b/>
        <sz val="11"/>
        <color theme="1"/>
        <rFont val="Calibri"/>
        <family val="2"/>
        <scheme val="minor"/>
      </rPr>
      <t>/p</t>
    </r>
    <r>
      <rPr>
        <b/>
        <vertAlign val="subscript"/>
        <sz val="11"/>
        <color theme="1"/>
        <rFont val="Calibri"/>
        <family val="2"/>
        <scheme val="minor"/>
      </rPr>
      <t>0</t>
    </r>
    <r>
      <rPr>
        <b/>
        <vertAlign val="superscript"/>
        <sz val="11"/>
        <color theme="1"/>
        <rFont val="Calibri"/>
        <family val="2"/>
        <scheme val="minor"/>
      </rPr>
      <t>2</t>
    </r>
  </si>
  <si>
    <t>Data Point Number for Start of Passby Event (time at which train nose passes microphone):</t>
  </si>
  <si>
    <t>Data Point Number for End of Passby Event (time at which train tail passes microphone):</t>
  </si>
  <si>
    <t xml:space="preserve">is the time increment between measured data points = </t>
  </si>
  <si>
    <t>seconds</t>
  </si>
  <si>
    <t>i = 1</t>
  </si>
  <si>
    <t>i - n</t>
  </si>
  <si>
    <t>thus,                                                   =</t>
  </si>
  <si>
    <r>
      <t>L</t>
    </r>
    <r>
      <rPr>
        <vertAlign val="subscript"/>
        <sz val="11"/>
        <color theme="1"/>
        <rFont val="Calibri"/>
        <family val="2"/>
        <scheme val="minor"/>
      </rPr>
      <t>pAeq,Tp</t>
    </r>
    <r>
      <rPr>
        <sz val="11"/>
        <color theme="1"/>
        <rFont val="Calibri"/>
        <family val="2"/>
        <scheme val="minor"/>
      </rPr>
      <t xml:space="preserve"> =</t>
    </r>
  </si>
  <si>
    <t>km/hr =</t>
  </si>
  <si>
    <t>m/sec</t>
  </si>
  <si>
    <t>Train Length:</t>
  </si>
  <si>
    <t>6 cars: 2 end cars and 4 intermediate cars</t>
  </si>
  <si>
    <r>
      <t>Time for Pass-By (T</t>
    </r>
    <r>
      <rPr>
        <vertAlign val="subscript"/>
        <sz val="11"/>
        <color theme="1"/>
        <rFont val="Calibri"/>
        <family val="2"/>
        <scheme val="minor"/>
      </rPr>
      <t>p</t>
    </r>
    <r>
      <rPr>
        <sz val="11"/>
        <color theme="1"/>
        <rFont val="Calibri"/>
        <family val="2"/>
        <scheme val="minor"/>
      </rPr>
      <t>)</t>
    </r>
  </si>
  <si>
    <t>Pass-By Noise Calculations</t>
  </si>
  <si>
    <t xml:space="preserve">This is the time increment between nose of train passing </t>
  </si>
  <si>
    <t>microphone and tail of train passing microphone.</t>
  </si>
  <si>
    <t xml:space="preserve">TEL is the Transit Exposure Limit and represents the equivalent </t>
  </si>
  <si>
    <t xml:space="preserve">A-weighted SPL over the time period beginning when the </t>
  </si>
  <si>
    <r>
      <t>instantaneous meter reading is 10 dB(A) less than L</t>
    </r>
    <r>
      <rPr>
        <vertAlign val="subscript"/>
        <sz val="11"/>
        <color theme="1"/>
        <rFont val="Calibri"/>
        <family val="2"/>
        <scheme val="minor"/>
      </rPr>
      <t>pAEq,Tp</t>
    </r>
    <r>
      <rPr>
        <sz val="11"/>
        <color theme="1"/>
        <rFont val="Calibri"/>
        <family val="2"/>
        <scheme val="minor"/>
      </rPr>
      <t xml:space="preserve"> and </t>
    </r>
  </si>
  <si>
    <t>continuing through the passby event until the meter reading is</t>
  </si>
  <si>
    <r>
      <t>again 10 dB(A) less than L</t>
    </r>
    <r>
      <rPr>
        <vertAlign val="subscript"/>
        <sz val="11"/>
        <color theme="1"/>
        <rFont val="Calibri"/>
        <family val="2"/>
        <scheme val="minor"/>
      </rPr>
      <t>pAeq,Tp</t>
    </r>
  </si>
  <si>
    <t>Impact of Microphone Position</t>
  </si>
  <si>
    <t>Elevation Above Top of Rail (m)</t>
  </si>
  <si>
    <t>US</t>
  </si>
  <si>
    <t>EU</t>
  </si>
  <si>
    <t>China</t>
  </si>
  <si>
    <t>Japan</t>
  </si>
  <si>
    <t>X</t>
  </si>
  <si>
    <t>X (TSI 2008)</t>
  </si>
  <si>
    <t>X (TSI 2014)</t>
  </si>
  <si>
    <t>Comment</t>
  </si>
  <si>
    <t>Reference for pre 2014 train sets</t>
  </si>
  <si>
    <t>Train Speed (km/hr)</t>
  </si>
  <si>
    <r>
      <t>Applies to Regulations in these Regions</t>
    </r>
    <r>
      <rPr>
        <b/>
        <vertAlign val="superscript"/>
        <sz val="10"/>
        <color theme="1"/>
        <rFont val="Calibri"/>
        <family val="2"/>
        <scheme val="minor"/>
      </rPr>
      <t>2</t>
    </r>
  </si>
  <si>
    <t>TSI 1304</t>
  </si>
  <si>
    <t>Also required for speeds &gt; 250 km/hr</t>
  </si>
  <si>
    <t>To convert Pa to dB(A),  dB(A) = 20*LOG10(Pa/0.00002)</t>
  </si>
  <si>
    <t xml:space="preserve">To convert dB(A) to Pascals:  Pa = 0.00002*(10^(dBA/20)) </t>
  </si>
  <si>
    <t>Calculated Noise Metrics: Maximum Recorded Sound Pressure Levels</t>
  </si>
  <si>
    <t xml:space="preserve">which occurs at data point </t>
  </si>
  <si>
    <r>
      <t xml:space="preserve"> L</t>
    </r>
    <r>
      <rPr>
        <vertAlign val="subscript"/>
        <sz val="11"/>
        <color theme="1"/>
        <rFont val="Calibri"/>
        <family val="2"/>
        <scheme val="minor"/>
      </rPr>
      <t>pASmax</t>
    </r>
    <r>
      <rPr>
        <sz val="11"/>
        <color theme="1"/>
        <rFont val="Calibri"/>
        <family val="2"/>
        <scheme val="minor"/>
      </rPr>
      <t xml:space="preserve"> is the maximum sound pressure level, slow and A-weighted and  L</t>
    </r>
    <r>
      <rPr>
        <vertAlign val="subscript"/>
        <sz val="11"/>
        <color theme="1"/>
        <rFont val="Calibri"/>
        <family val="2"/>
        <scheme val="minor"/>
      </rPr>
      <t>pAFmax</t>
    </r>
    <r>
      <rPr>
        <sz val="11"/>
        <color theme="1"/>
        <rFont val="Calibri"/>
        <family val="2"/>
        <scheme val="minor"/>
      </rPr>
      <t xml:space="preserve"> = maximum sound pressure level, fast and A-weighted.  The time period for the "slow" reading is 1 second.  The time period for the "fast" reading is 0.125 seconds.</t>
    </r>
  </si>
  <si>
    <r>
      <rPr>
        <sz val="11"/>
        <color theme="1"/>
        <rFont val="Calibri"/>
        <family val="2"/>
        <scheme val="minor"/>
      </rPr>
      <t>L</t>
    </r>
    <r>
      <rPr>
        <vertAlign val="subscript"/>
        <sz val="11"/>
        <color theme="1"/>
        <rFont val="Calibri"/>
        <family val="2"/>
        <scheme val="minor"/>
      </rPr>
      <t>pASmax</t>
    </r>
    <r>
      <rPr>
        <sz val="11"/>
        <color theme="1"/>
        <rFont val="Calibri"/>
        <family val="2"/>
        <scheme val="minor"/>
      </rPr>
      <t xml:space="preserve"> can be calculated as the logarithmic average of the recorded SPLs for the 1 second time interval containing the highest values</t>
    </r>
  </si>
  <si>
    <t xml:space="preserve">Highest 1-second interval occurs from start time </t>
  </si>
  <si>
    <t>to end time</t>
  </si>
  <si>
    <t>The logarithmic average for an Excel array is: {=10*LOG(AVERAGE(10^(ARRAY/10)))} array-entered, i.e. using CTRL-Shift-Enter keys</t>
  </si>
  <si>
    <t>where array is of the form A10:A15.  In the current case, the array is Pass-By Data Set 1, C:48:C68</t>
  </si>
  <si>
    <r>
      <t>Similarly, L</t>
    </r>
    <r>
      <rPr>
        <vertAlign val="subscript"/>
        <sz val="11"/>
        <color theme="1"/>
        <rFont val="Calibri"/>
        <family val="2"/>
        <scheme val="minor"/>
      </rPr>
      <t>pAFmax</t>
    </r>
    <r>
      <rPr>
        <sz val="11"/>
        <color theme="1"/>
        <rFont val="Calibri"/>
        <family val="2"/>
        <scheme val="minor"/>
      </rPr>
      <t xml:space="preserve"> can be calculated as the logarithmic average of the recorded SPLs for the 0.125 second time interval containing the highest values</t>
    </r>
  </si>
  <si>
    <t>Highest 0.125-second interval occures from start time</t>
  </si>
  <si>
    <t>The following calculations are for Microphone Position 2</t>
  </si>
  <si>
    <t>at pass-by time</t>
  </si>
  <si>
    <r>
      <t>Thus, L</t>
    </r>
    <r>
      <rPr>
        <b/>
        <vertAlign val="subscript"/>
        <sz val="11"/>
        <color theme="1"/>
        <rFont val="Calibri"/>
        <family val="2"/>
        <scheme val="minor"/>
      </rPr>
      <t>pASmax</t>
    </r>
    <r>
      <rPr>
        <b/>
        <sz val="11"/>
        <color theme="1"/>
        <rFont val="Calibri"/>
        <family val="2"/>
        <scheme val="minor"/>
      </rPr>
      <t xml:space="preserve"> = </t>
    </r>
  </si>
  <si>
    <r>
      <t>Thus, L</t>
    </r>
    <r>
      <rPr>
        <b/>
        <vertAlign val="subscript"/>
        <sz val="11"/>
        <color theme="1"/>
        <rFont val="Calibri"/>
        <family val="2"/>
        <scheme val="minor"/>
      </rPr>
      <t>pAFmax</t>
    </r>
    <r>
      <rPr>
        <b/>
        <sz val="11"/>
        <color theme="1"/>
        <rFont val="Calibri"/>
        <family val="2"/>
        <scheme val="minor"/>
      </rPr>
      <t xml:space="preserve"> =</t>
    </r>
  </si>
  <si>
    <t>Calculated Noise Metrics: Other Standard Parameters</t>
  </si>
  <si>
    <r>
      <rPr>
        <vertAlign val="superscript"/>
        <sz val="10"/>
        <color theme="1"/>
        <rFont val="Calibri"/>
        <family val="2"/>
        <scheme val="minor"/>
      </rPr>
      <t>1</t>
    </r>
    <r>
      <rPr>
        <sz val="10"/>
        <color theme="1"/>
        <rFont val="Calibri"/>
        <family val="2"/>
        <scheme val="minor"/>
      </rPr>
      <t>He, et al., Investigation into External Noise of a High-Speed Train at Different Speeds, J Zhejiang Univ-Sci A (Appl Phys &amp; Eng) 2014, 15(12):1019-1033</t>
    </r>
  </si>
  <si>
    <r>
      <t>2</t>
    </r>
    <r>
      <rPr>
        <sz val="10"/>
        <color theme="1"/>
        <rFont val="Calibri"/>
        <family val="2"/>
        <scheme val="minor"/>
      </rPr>
      <t>Paul, et al, High Speed Rail Noise Standards and Regulations, US DOT Federal Railroad Administration, Contract DTFR35-16-C00006, May 2017.</t>
    </r>
  </si>
  <si>
    <r>
      <t>3</t>
    </r>
    <r>
      <rPr>
        <sz val="10"/>
        <color theme="1"/>
        <rFont val="Calibri"/>
        <family val="2"/>
        <scheme val="minor"/>
      </rPr>
      <t xml:space="preserve">G. Xiaoan and J. Hua, "Application Research on Descending Vibration and Reducing Noise in Accelerating Speed Trains and Express Trains," Chinese </t>
    </r>
  </si>
  <si>
    <t>Academy of Railway Sciences (CARS) Research Report, Beijing Shi, China, 2003.</t>
  </si>
  <si>
    <r>
      <t>L</t>
    </r>
    <r>
      <rPr>
        <b/>
        <vertAlign val="subscript"/>
        <sz val="11"/>
        <color theme="1"/>
        <rFont val="Calibri"/>
        <family val="2"/>
        <scheme val="minor"/>
      </rPr>
      <t>pAeq,Tp</t>
    </r>
    <r>
      <rPr>
        <b/>
        <sz val="11"/>
        <color theme="1"/>
        <rFont val="Calibri"/>
        <family val="2"/>
        <scheme val="minor"/>
      </rPr>
      <t xml:space="preserve"> =</t>
    </r>
  </si>
  <si>
    <t>Microphone Position is 7.5 m from track centerline and 3.5 m above top of rail (Microphone Position 2).</t>
  </si>
  <si>
    <r>
      <t xml:space="preserve"> L</t>
    </r>
    <r>
      <rPr>
        <vertAlign val="subscript"/>
        <sz val="10"/>
        <color theme="1"/>
        <rFont val="Calibri"/>
        <family val="2"/>
        <scheme val="minor"/>
      </rPr>
      <t xml:space="preserve">pAeq,passby </t>
    </r>
    <r>
      <rPr>
        <sz val="10"/>
        <color theme="1"/>
        <rFont val="Calibri"/>
        <family val="2"/>
        <scheme val="minor"/>
      </rPr>
      <t>is the A-weighted equivalent continuous sound pressure level produced during the entire pass-by event, including approach, T</t>
    </r>
    <r>
      <rPr>
        <vertAlign val="subscript"/>
        <sz val="10"/>
        <color theme="1"/>
        <rFont val="Calibri"/>
        <family val="2"/>
        <scheme val="minor"/>
      </rPr>
      <t>p</t>
    </r>
    <r>
      <rPr>
        <sz val="10"/>
        <color theme="1"/>
        <rFont val="Calibri"/>
        <family val="2"/>
        <scheme val="minor"/>
      </rPr>
      <t>, and departure (used for L</t>
    </r>
    <r>
      <rPr>
        <vertAlign val="subscript"/>
        <sz val="10"/>
        <color theme="1"/>
        <rFont val="Calibri"/>
        <family val="2"/>
        <scheme val="minor"/>
      </rPr>
      <t>d</t>
    </r>
    <r>
      <rPr>
        <sz val="10"/>
        <color theme="1"/>
        <rFont val="Calibri"/>
        <family val="2"/>
        <scheme val="minor"/>
      </rPr>
      <t>, L</t>
    </r>
    <r>
      <rPr>
        <vertAlign val="subscript"/>
        <sz val="10"/>
        <color theme="1"/>
        <rFont val="Calibri"/>
        <family val="2"/>
        <scheme val="minor"/>
      </rPr>
      <t>n</t>
    </r>
    <r>
      <rPr>
        <sz val="10"/>
        <color theme="1"/>
        <rFont val="Calibri"/>
        <family val="2"/>
        <scheme val="minor"/>
      </rPr>
      <t>, etc.)</t>
    </r>
  </si>
  <si>
    <t>The calculation includes all of the pass-by data points.</t>
  </si>
  <si>
    <r>
      <t>L</t>
    </r>
    <r>
      <rPr>
        <vertAlign val="subscript"/>
        <sz val="11"/>
        <color theme="1"/>
        <rFont val="Calibri"/>
        <family val="2"/>
        <scheme val="minor"/>
      </rPr>
      <t>pAeq,passby</t>
    </r>
    <r>
      <rPr>
        <sz val="11"/>
        <color theme="1"/>
        <rFont val="Calibri"/>
        <family val="2"/>
        <scheme val="minor"/>
      </rPr>
      <t xml:space="preserve"> =</t>
    </r>
  </si>
  <si>
    <r>
      <t>T</t>
    </r>
    <r>
      <rPr>
        <vertAlign val="subscript"/>
        <sz val="11"/>
        <color theme="1"/>
        <rFont val="Calibri"/>
        <family val="2"/>
        <scheme val="minor"/>
      </rPr>
      <t>2</t>
    </r>
    <r>
      <rPr>
        <sz val="11"/>
        <color theme="1"/>
        <rFont val="Calibri"/>
        <family val="2"/>
        <scheme val="minor"/>
      </rPr>
      <t xml:space="preserve"> - T</t>
    </r>
    <r>
      <rPr>
        <vertAlign val="subscript"/>
        <sz val="11"/>
        <color theme="1"/>
        <rFont val="Calibri"/>
        <family val="2"/>
        <scheme val="minor"/>
      </rPr>
      <t>1</t>
    </r>
    <r>
      <rPr>
        <sz val="11"/>
        <color theme="1"/>
        <rFont val="Calibri"/>
        <family val="2"/>
        <scheme val="minor"/>
      </rPr>
      <t xml:space="preserve"> =</t>
    </r>
  </si>
  <si>
    <r>
      <t>L</t>
    </r>
    <r>
      <rPr>
        <b/>
        <vertAlign val="subscript"/>
        <sz val="11"/>
        <color theme="1"/>
        <rFont val="Calibri"/>
        <family val="2"/>
        <scheme val="minor"/>
      </rPr>
      <t>pAeq,passby</t>
    </r>
    <r>
      <rPr>
        <b/>
        <sz val="11"/>
        <color theme="1"/>
        <rFont val="Calibri"/>
        <family val="2"/>
        <scheme val="minor"/>
      </rPr>
      <t xml:space="preserve"> =</t>
    </r>
  </si>
  <si>
    <r>
      <t>Time for TEL (T</t>
    </r>
    <r>
      <rPr>
        <vertAlign val="subscript"/>
        <sz val="11"/>
        <color theme="1"/>
        <rFont val="Calibri"/>
        <family val="2"/>
        <scheme val="minor"/>
      </rPr>
      <t>TEL</t>
    </r>
    <r>
      <rPr>
        <sz val="11"/>
        <color theme="1"/>
        <rFont val="Calibri"/>
        <family val="2"/>
        <scheme val="minor"/>
      </rPr>
      <t>)</t>
    </r>
  </si>
  <si>
    <t>Administration, Report Number DOT/FRA/ORD-12/15, September 2012.</t>
  </si>
  <si>
    <r>
      <t>4</t>
    </r>
    <r>
      <rPr>
        <sz val="11"/>
        <color theme="1"/>
        <rFont val="Calibri"/>
        <family val="2"/>
        <scheme val="minor"/>
      </rPr>
      <t xml:space="preserve">Hanson, C.E., et. al., High Speed Ground Transportation Noise and Vibration Impact Assessment, U.S. Department of Transportation, Federal Railroad </t>
    </r>
  </si>
  <si>
    <r>
      <t>TEL is the Transit Exposure Limit</t>
    </r>
    <r>
      <rPr>
        <vertAlign val="superscript"/>
        <sz val="11"/>
        <color theme="1"/>
        <rFont val="Calibri"/>
        <family val="2"/>
        <scheme val="minor"/>
      </rPr>
      <t>4.</t>
    </r>
  </si>
  <si>
    <r>
      <t>It is measured over the time interval starting when the SPL is 10 dB(A) lower than L</t>
    </r>
    <r>
      <rPr>
        <vertAlign val="subscript"/>
        <sz val="10"/>
        <color theme="1"/>
        <rFont val="Calibri"/>
        <family val="2"/>
        <scheme val="minor"/>
      </rPr>
      <t>pAeq,Tp</t>
    </r>
    <r>
      <rPr>
        <sz val="10"/>
        <color theme="1"/>
        <rFont val="Calibri"/>
        <family val="2"/>
        <scheme val="minor"/>
      </rPr>
      <t xml:space="preserve"> and ending when the SPL again reaches a value that is 10 dB(A) lower than L</t>
    </r>
    <r>
      <rPr>
        <vertAlign val="subscript"/>
        <sz val="10"/>
        <color theme="1"/>
        <rFont val="Calibri"/>
        <family val="2"/>
        <scheme val="minor"/>
      </rPr>
      <t xml:space="preserve">pAeq,Tp </t>
    </r>
  </si>
  <si>
    <t>TEL is calculated using the followign formula:</t>
  </si>
  <si>
    <r>
      <t xml:space="preserve"> TEL = L</t>
    </r>
    <r>
      <rPr>
        <vertAlign val="subscript"/>
        <sz val="11"/>
        <color theme="1"/>
        <rFont val="Calibri"/>
        <family val="2"/>
        <scheme val="minor"/>
      </rPr>
      <t>pAeq,Tp</t>
    </r>
    <r>
      <rPr>
        <sz val="11"/>
        <color theme="1"/>
        <rFont val="Calibri"/>
        <family val="2"/>
        <scheme val="minor"/>
      </rPr>
      <t xml:space="preserve"> + 10*LOG(T</t>
    </r>
    <r>
      <rPr>
        <vertAlign val="subscript"/>
        <sz val="11"/>
        <color theme="1"/>
        <rFont val="Calibri"/>
        <family val="2"/>
        <scheme val="minor"/>
      </rPr>
      <t>TEL</t>
    </r>
    <r>
      <rPr>
        <sz val="11"/>
        <color theme="1"/>
        <rFont val="Calibri"/>
        <family val="2"/>
        <scheme val="minor"/>
      </rPr>
      <t>/T</t>
    </r>
    <r>
      <rPr>
        <vertAlign val="subscript"/>
        <sz val="11"/>
        <color theme="1"/>
        <rFont val="Calibri"/>
        <family val="2"/>
        <scheme val="minor"/>
      </rPr>
      <t>p</t>
    </r>
    <r>
      <rPr>
        <sz val="11"/>
        <color theme="1"/>
        <rFont val="Calibri"/>
        <family val="2"/>
        <scheme val="minor"/>
      </rPr>
      <t>)</t>
    </r>
  </si>
  <si>
    <t>TEL =</t>
  </si>
  <si>
    <r>
      <t>SEL is the Sound Exposure Limit</t>
    </r>
    <r>
      <rPr>
        <vertAlign val="superscript"/>
        <sz val="11"/>
        <color theme="1"/>
        <rFont val="Calibri"/>
        <family val="2"/>
        <scheme val="minor"/>
      </rPr>
      <t>4</t>
    </r>
    <r>
      <rPr>
        <sz val="11"/>
        <color theme="1"/>
        <rFont val="Calibri"/>
        <family val="2"/>
        <scheme val="minor"/>
      </rPr>
      <t>.</t>
    </r>
  </si>
  <si>
    <r>
      <t>Like L</t>
    </r>
    <r>
      <rPr>
        <vertAlign val="subscript"/>
        <sz val="10"/>
        <color theme="1"/>
        <rFont val="Calibri"/>
        <family val="2"/>
        <scheme val="minor"/>
      </rPr>
      <t>pAeq,Tp</t>
    </r>
    <r>
      <rPr>
        <sz val="10"/>
        <color theme="1"/>
        <rFont val="Calibri"/>
        <family val="2"/>
        <scheme val="minor"/>
      </rPr>
      <t>, it integrates the total sound energy over a measurement period, but for SEL, the measurement period is normalized to a duration of 1 second.  At a microphone distance of 30 m (100 ft),  SEL =  L</t>
    </r>
    <r>
      <rPr>
        <vertAlign val="subscript"/>
        <sz val="10"/>
        <color theme="1"/>
        <rFont val="Calibri"/>
        <family val="2"/>
        <scheme val="minor"/>
      </rPr>
      <t>pAeq,Tp</t>
    </r>
    <r>
      <rPr>
        <sz val="10"/>
        <color theme="1"/>
        <rFont val="Calibri"/>
        <family val="2"/>
        <scheme val="minor"/>
      </rPr>
      <t xml:space="preserve"> + 10*LOG(Tp) + 1</t>
    </r>
  </si>
  <si>
    <t>SEL at 30 m:</t>
  </si>
  <si>
    <t xml:space="preserve">using the distance correction factor: </t>
  </si>
  <si>
    <r>
      <t>L</t>
    </r>
    <r>
      <rPr>
        <vertAlign val="subscript"/>
        <sz val="11"/>
        <color theme="1"/>
        <rFont val="Calibri"/>
        <family val="2"/>
        <scheme val="minor"/>
      </rPr>
      <t>d</t>
    </r>
    <r>
      <rPr>
        <sz val="11"/>
        <color theme="1"/>
        <rFont val="Calibri"/>
        <family val="2"/>
        <scheme val="minor"/>
      </rPr>
      <t xml:space="preserve"> = L</t>
    </r>
    <r>
      <rPr>
        <vertAlign val="subscript"/>
        <sz val="11"/>
        <color theme="1"/>
        <rFont val="Calibri"/>
        <family val="2"/>
        <scheme val="minor"/>
      </rPr>
      <t>d0</t>
    </r>
    <r>
      <rPr>
        <sz val="11"/>
        <color theme="1"/>
        <rFont val="Calibri"/>
        <family val="2"/>
        <scheme val="minor"/>
      </rPr>
      <t xml:space="preserve"> - 10*LOG(d/d0)</t>
    </r>
  </si>
  <si>
    <t xml:space="preserve">SEL is the cumulative noise exposure (i.e. "dose") for a single noise event normalized over 1 second.  The fact that SEL is a cumulative measure means that (1) louder events have higher SELs than quieter ones, and </t>
  </si>
  <si>
    <r>
      <t>(2) events that last longer in time have higher SELs than shorter ones.</t>
    </r>
    <r>
      <rPr>
        <vertAlign val="superscript"/>
        <sz val="10"/>
        <color theme="1"/>
        <rFont val="Calibri"/>
        <family val="2"/>
        <scheme val="minor"/>
      </rPr>
      <t>4</t>
    </r>
  </si>
  <si>
    <t>Statistical Parameters</t>
  </si>
  <si>
    <r>
      <t>L</t>
    </r>
    <r>
      <rPr>
        <vertAlign val="subscript"/>
        <sz val="11"/>
        <color theme="1"/>
        <rFont val="Calibri"/>
        <family val="2"/>
        <scheme val="minor"/>
      </rPr>
      <t>10</t>
    </r>
    <r>
      <rPr>
        <sz val="11"/>
        <color theme="1"/>
        <rFont val="Calibri"/>
        <family val="2"/>
        <scheme val="minor"/>
      </rPr>
      <t xml:space="preserve"> is the sound pressure level for which 90% of the recorded values are greater.  It includes lead-in (prior to nose passing microphone) and trail-off (after tail of train passes) data.  </t>
    </r>
  </si>
  <si>
    <r>
      <t>L</t>
    </r>
    <r>
      <rPr>
        <b/>
        <vertAlign val="subscript"/>
        <sz val="11"/>
        <color theme="1"/>
        <rFont val="Calibri"/>
        <family val="2"/>
        <scheme val="minor"/>
      </rPr>
      <t>10</t>
    </r>
    <r>
      <rPr>
        <b/>
        <sz val="11"/>
        <color theme="1"/>
        <rFont val="Calibri"/>
        <family val="2"/>
        <scheme val="minor"/>
      </rPr>
      <t xml:space="preserve"> =</t>
    </r>
  </si>
  <si>
    <r>
      <t>L</t>
    </r>
    <r>
      <rPr>
        <vertAlign val="subscript"/>
        <sz val="11"/>
        <color theme="1"/>
        <rFont val="Calibri"/>
        <family val="2"/>
        <scheme val="minor"/>
      </rPr>
      <t>50</t>
    </r>
    <r>
      <rPr>
        <sz val="11"/>
        <color theme="1"/>
        <rFont val="Calibri"/>
        <family val="2"/>
        <scheme val="minor"/>
      </rPr>
      <t xml:space="preserve"> is the sound pressure level for which 50% of the recorded values are greater.  It includes lead-in (prior to nose passing microphone) and trail-off (after tail of train passes) data.  </t>
    </r>
  </si>
  <si>
    <r>
      <t>L</t>
    </r>
    <r>
      <rPr>
        <b/>
        <vertAlign val="subscript"/>
        <sz val="11"/>
        <color theme="1"/>
        <rFont val="Calibri"/>
        <family val="2"/>
        <scheme val="minor"/>
      </rPr>
      <t>50</t>
    </r>
    <r>
      <rPr>
        <b/>
        <sz val="11"/>
        <color theme="1"/>
        <rFont val="Calibri"/>
        <family val="2"/>
        <scheme val="minor"/>
      </rPr>
      <t xml:space="preserve"> =</t>
    </r>
  </si>
  <si>
    <r>
      <t>L</t>
    </r>
    <r>
      <rPr>
        <vertAlign val="subscript"/>
        <sz val="11"/>
        <color theme="1"/>
        <rFont val="Calibri"/>
        <family val="2"/>
        <scheme val="minor"/>
      </rPr>
      <t>90</t>
    </r>
    <r>
      <rPr>
        <sz val="11"/>
        <color theme="1"/>
        <rFont val="Calibri"/>
        <family val="2"/>
        <scheme val="minor"/>
      </rPr>
      <t xml:space="preserve"> is the sound pressure level for which 10% of the recorded values are greater.  It includes lead-in (prior to nose passing microphone) and trail-off (after tail of train passes) data.  </t>
    </r>
  </si>
  <si>
    <r>
      <t>L</t>
    </r>
    <r>
      <rPr>
        <b/>
        <vertAlign val="subscript"/>
        <sz val="11"/>
        <color theme="1"/>
        <rFont val="Calibri"/>
        <family val="2"/>
        <scheme val="minor"/>
      </rPr>
      <t>90</t>
    </r>
    <r>
      <rPr>
        <b/>
        <sz val="11"/>
        <color theme="1"/>
        <rFont val="Calibri"/>
        <family val="2"/>
        <scheme val="minor"/>
      </rPr>
      <t xml:space="preserve"> =</t>
    </r>
  </si>
  <si>
    <t>Impact of Train Speed on Noise Levels</t>
  </si>
  <si>
    <t>The following parameters are determined by specifying the indicated percentile of the data values using Excel Function PERCENTILE(range,P).</t>
  </si>
  <si>
    <r>
      <rPr>
        <vertAlign val="superscript"/>
        <sz val="11"/>
        <color theme="1"/>
        <rFont val="Calibri"/>
        <family val="2"/>
        <scheme val="minor"/>
      </rPr>
      <t>5</t>
    </r>
    <r>
      <rPr>
        <sz val="11"/>
        <color theme="1"/>
        <rFont val="Calibri"/>
        <family val="2"/>
        <scheme val="minor"/>
      </rPr>
      <t xml:space="preserve">Gautier, P.E., Poisson, F., and Letourneaux, F., High Speed Trains External Noise: A Review of Measurements and Source Models for TGV Case Up to </t>
    </r>
  </si>
  <si>
    <t>360 km/hr, in Proceedings of the 8th World Congress on Railway Research (2008).</t>
  </si>
  <si>
    <r>
      <t>Ricardo evaluated several methods for determining the impact of train speed on passby noise levels.  The approach developed by Gautier, Poisson &amp; Letourneaux</t>
    </r>
    <r>
      <rPr>
        <vertAlign val="superscript"/>
        <sz val="11"/>
        <color theme="1"/>
        <rFont val="Calibri"/>
        <family val="2"/>
        <scheme val="minor"/>
      </rPr>
      <t>5</t>
    </r>
    <r>
      <rPr>
        <sz val="11"/>
        <color theme="1"/>
        <rFont val="Calibri"/>
        <family val="2"/>
        <scheme val="minor"/>
      </rPr>
      <t xml:space="preserve"> provided the highest level of correlation with measured data is the basis for the calculations presented below.</t>
    </r>
  </si>
  <si>
    <t>where" range" is the array of values (e.g. K10:K68) and P = the percentile (between 0 and 1, for example, P for the 90th percentile would be entered as 0.9)</t>
  </si>
  <si>
    <r>
      <t>L</t>
    </r>
    <r>
      <rPr>
        <vertAlign val="subscript"/>
        <sz val="11"/>
        <color theme="1"/>
        <rFont val="Calibri"/>
        <family val="2"/>
        <scheme val="minor"/>
      </rPr>
      <t>Aeq,tp</t>
    </r>
    <r>
      <rPr>
        <sz val="11"/>
        <color theme="1"/>
        <rFont val="Calibri"/>
        <family val="2"/>
        <scheme val="minor"/>
      </rPr>
      <t xml:space="preserve"> (V) - L</t>
    </r>
    <r>
      <rPr>
        <vertAlign val="subscript"/>
        <sz val="11"/>
        <color theme="1"/>
        <rFont val="Calibri"/>
        <family val="2"/>
        <scheme val="minor"/>
      </rPr>
      <t>Aeq,tp</t>
    </r>
    <r>
      <rPr>
        <sz val="11"/>
        <color theme="1"/>
        <rFont val="Calibri"/>
        <family val="2"/>
        <scheme val="minor"/>
      </rPr>
      <t>(V</t>
    </r>
    <r>
      <rPr>
        <vertAlign val="subscript"/>
        <sz val="11"/>
        <color theme="1"/>
        <rFont val="Calibri"/>
        <family val="2"/>
        <scheme val="minor"/>
      </rPr>
      <t>0</t>
    </r>
    <r>
      <rPr>
        <sz val="11"/>
        <color theme="1"/>
        <rFont val="Calibri"/>
        <family val="2"/>
        <scheme val="minor"/>
      </rPr>
      <t>) = K log(V/V</t>
    </r>
    <r>
      <rPr>
        <vertAlign val="subscript"/>
        <sz val="11"/>
        <color theme="1"/>
        <rFont val="Calibri"/>
        <family val="2"/>
        <scheme val="minor"/>
      </rPr>
      <t>0</t>
    </r>
    <r>
      <rPr>
        <sz val="11"/>
        <color theme="1"/>
        <rFont val="Calibri"/>
        <family val="2"/>
        <scheme val="minor"/>
      </rPr>
      <t>)  where K is an empirical factor</t>
    </r>
  </si>
  <si>
    <t xml:space="preserve">thus, </t>
  </si>
  <si>
    <r>
      <t>L</t>
    </r>
    <r>
      <rPr>
        <vertAlign val="subscript"/>
        <sz val="11"/>
        <color theme="1"/>
        <rFont val="Calibri"/>
        <family val="2"/>
        <scheme val="minor"/>
      </rPr>
      <t>Aeq,tp</t>
    </r>
    <r>
      <rPr>
        <sz val="11"/>
        <color theme="1"/>
        <rFont val="Calibri"/>
        <family val="2"/>
        <scheme val="minor"/>
      </rPr>
      <t xml:space="preserve"> (V)  =  K log(V/V</t>
    </r>
    <r>
      <rPr>
        <vertAlign val="subscript"/>
        <sz val="11"/>
        <color theme="1"/>
        <rFont val="Calibri"/>
        <family val="2"/>
        <scheme val="minor"/>
      </rPr>
      <t>0</t>
    </r>
    <r>
      <rPr>
        <sz val="11"/>
        <color theme="1"/>
        <rFont val="Calibri"/>
        <family val="2"/>
        <scheme val="minor"/>
      </rPr>
      <t>) + L</t>
    </r>
    <r>
      <rPr>
        <vertAlign val="subscript"/>
        <sz val="11"/>
        <color theme="1"/>
        <rFont val="Calibri"/>
        <family val="2"/>
        <scheme val="minor"/>
      </rPr>
      <t>Aeq,tp</t>
    </r>
    <r>
      <rPr>
        <sz val="11"/>
        <color theme="1"/>
        <rFont val="Calibri"/>
        <family val="2"/>
        <scheme val="minor"/>
      </rPr>
      <t>(V</t>
    </r>
    <r>
      <rPr>
        <vertAlign val="subscript"/>
        <sz val="11"/>
        <color theme="1"/>
        <rFont val="Calibri"/>
        <family val="2"/>
        <scheme val="minor"/>
      </rPr>
      <t>0</t>
    </r>
    <r>
      <rPr>
        <sz val="11"/>
        <color theme="1"/>
        <rFont val="Calibri"/>
        <family val="2"/>
        <scheme val="minor"/>
      </rPr>
      <t xml:space="preserve">)  </t>
    </r>
  </si>
  <si>
    <t>where</t>
  </si>
  <si>
    <t>V=</t>
  </si>
  <si>
    <t>train speed (km/hr)</t>
  </si>
  <si>
    <r>
      <t>V</t>
    </r>
    <r>
      <rPr>
        <vertAlign val="subscript"/>
        <sz val="11"/>
        <color theme="1"/>
        <rFont val="Calibri"/>
        <family val="2"/>
        <scheme val="minor"/>
      </rPr>
      <t>0</t>
    </r>
    <r>
      <rPr>
        <sz val="11"/>
        <color theme="1"/>
        <rFont val="Calibri"/>
        <family val="2"/>
        <scheme val="minor"/>
      </rPr>
      <t>=</t>
    </r>
  </si>
  <si>
    <t>reference train speed (km/hr)</t>
  </si>
  <si>
    <r>
      <t>If the SPL is known at train speed V</t>
    </r>
    <r>
      <rPr>
        <vertAlign val="subscript"/>
        <sz val="11"/>
        <color theme="1"/>
        <rFont val="Calibri"/>
        <family val="2"/>
        <scheme val="minor"/>
      </rPr>
      <t>0</t>
    </r>
    <r>
      <rPr>
        <sz val="11"/>
        <color theme="1"/>
        <rFont val="Calibri"/>
        <family val="2"/>
        <scheme val="minor"/>
      </rPr>
      <t>, the SPL at train speed V can be determined from this formula</t>
    </r>
  </si>
  <si>
    <t>The empirical factor K varies with train speed.  This is because the contribution of noise sources (e.g. wheel/rail interaction, propulsion components, aerodynamics) vary with train speed.</t>
  </si>
  <si>
    <t>Ricardo calculated the K factor values for 12 passby noise data sets.</t>
  </si>
  <si>
    <t>The relationship between the K factor and train speed is provided by the following equation:</t>
  </si>
  <si>
    <t>K</t>
  </si>
  <si>
    <t>K =  a*V + b where</t>
  </si>
  <si>
    <t>a=</t>
  </si>
  <si>
    <t>and  b=</t>
  </si>
  <si>
    <t>Train Speed (V):</t>
  </si>
  <si>
    <t>SEL at 7.5 m:</t>
  </si>
  <si>
    <r>
      <t>V</t>
    </r>
    <r>
      <rPr>
        <vertAlign val="subscript"/>
        <sz val="11"/>
        <color theme="1"/>
        <rFont val="Calibri"/>
        <family val="2"/>
        <scheme val="minor"/>
      </rPr>
      <t>0</t>
    </r>
    <r>
      <rPr>
        <sz val="11"/>
        <color theme="1"/>
        <rFont val="Calibri"/>
        <family val="2"/>
        <scheme val="minor"/>
      </rPr>
      <t xml:space="preserve"> for this train set is:</t>
    </r>
  </si>
  <si>
    <t>Summary of Passby Noise Metrics for Each Microphone Position</t>
  </si>
  <si>
    <t xml:space="preserve">The noise metrics shown in the following table correspond to the baseline speed of </t>
  </si>
  <si>
    <t>TEL</t>
  </si>
  <si>
    <t>SEL</t>
  </si>
  <si>
    <t>Noise Metric: Table Entries are dB(A)</t>
  </si>
  <si>
    <r>
      <t>L</t>
    </r>
    <r>
      <rPr>
        <b/>
        <vertAlign val="subscript"/>
        <sz val="10"/>
        <color theme="1"/>
        <rFont val="Calibri"/>
        <family val="2"/>
        <scheme val="minor"/>
      </rPr>
      <t>pAeq,Tp</t>
    </r>
  </si>
  <si>
    <r>
      <t>L</t>
    </r>
    <r>
      <rPr>
        <b/>
        <vertAlign val="subscript"/>
        <sz val="11"/>
        <color theme="1"/>
        <rFont val="Calibri"/>
        <family val="2"/>
        <scheme val="minor"/>
      </rPr>
      <t xml:space="preserve">pASmax </t>
    </r>
  </si>
  <si>
    <r>
      <t>L</t>
    </r>
    <r>
      <rPr>
        <b/>
        <vertAlign val="subscript"/>
        <sz val="11"/>
        <color theme="1"/>
        <rFont val="Calibri"/>
        <family val="2"/>
        <scheme val="minor"/>
      </rPr>
      <t xml:space="preserve">pAFmax </t>
    </r>
  </si>
  <si>
    <r>
      <t>L</t>
    </r>
    <r>
      <rPr>
        <b/>
        <vertAlign val="subscript"/>
        <sz val="11"/>
        <color theme="1"/>
        <rFont val="Calibri"/>
        <family val="2"/>
        <scheme val="minor"/>
      </rPr>
      <t>pAeq,passby</t>
    </r>
  </si>
  <si>
    <r>
      <t>L</t>
    </r>
    <r>
      <rPr>
        <b/>
        <vertAlign val="subscript"/>
        <sz val="11"/>
        <color theme="1"/>
        <rFont val="Calibri"/>
        <family val="2"/>
        <scheme val="minor"/>
      </rPr>
      <t>10</t>
    </r>
  </si>
  <si>
    <r>
      <t>L</t>
    </r>
    <r>
      <rPr>
        <b/>
        <vertAlign val="subscript"/>
        <sz val="11"/>
        <color theme="1"/>
        <rFont val="Calibri"/>
        <family val="2"/>
        <scheme val="minor"/>
      </rPr>
      <t>50</t>
    </r>
  </si>
  <si>
    <r>
      <t>L</t>
    </r>
    <r>
      <rPr>
        <b/>
        <vertAlign val="subscript"/>
        <sz val="11"/>
        <color theme="1"/>
        <rFont val="Calibri"/>
        <family val="2"/>
        <scheme val="minor"/>
      </rPr>
      <t>90</t>
    </r>
  </si>
  <si>
    <r>
      <t>L</t>
    </r>
    <r>
      <rPr>
        <vertAlign val="subscript"/>
        <sz val="11"/>
        <color theme="1"/>
        <rFont val="Calibri"/>
        <family val="2"/>
        <scheme val="minor"/>
      </rPr>
      <t>d</t>
    </r>
    <r>
      <rPr>
        <sz val="11"/>
        <color theme="1"/>
        <rFont val="Calibri"/>
        <family val="2"/>
        <scheme val="minor"/>
      </rPr>
      <t xml:space="preserve"> = L</t>
    </r>
    <r>
      <rPr>
        <vertAlign val="subscript"/>
        <sz val="11"/>
        <color theme="1"/>
        <rFont val="Calibri"/>
        <family val="2"/>
        <scheme val="minor"/>
      </rPr>
      <t>d0</t>
    </r>
    <r>
      <rPr>
        <sz val="11"/>
        <color theme="1"/>
        <rFont val="Calibri"/>
        <family val="2"/>
        <scheme val="minor"/>
      </rPr>
      <t xml:space="preserve"> - 10*LOG(d/d0), where L</t>
    </r>
    <r>
      <rPr>
        <vertAlign val="subscript"/>
        <sz val="11"/>
        <color theme="1"/>
        <rFont val="Calibri"/>
        <family val="2"/>
        <scheme val="minor"/>
      </rPr>
      <t>d0</t>
    </r>
    <r>
      <rPr>
        <sz val="11"/>
        <color theme="1"/>
        <rFont val="Calibri"/>
        <family val="2"/>
        <scheme val="minor"/>
      </rPr>
      <t xml:space="preserve"> is the equivalent A-weighted constant sound pressure level for the microphone at distance d0, and d is the distance for L</t>
    </r>
    <r>
      <rPr>
        <vertAlign val="subscript"/>
        <sz val="11"/>
        <color theme="1"/>
        <rFont val="Calibri"/>
        <family val="2"/>
        <scheme val="minor"/>
      </rPr>
      <t>d</t>
    </r>
    <r>
      <rPr>
        <sz val="11"/>
        <color theme="1"/>
        <rFont val="Calibri"/>
        <family val="2"/>
        <scheme val="minor"/>
      </rPr>
      <t>.</t>
    </r>
  </si>
  <si>
    <t>The following tables contain the calculated variation with train speed for the various noise parameters described above:</t>
  </si>
  <si>
    <t>Microphone Position 3                                                           Noise Metric: Table Entries are dB(A)</t>
  </si>
  <si>
    <t>Microphone Position 4                                                          Noise Metric: Table Entries are dB(A)</t>
  </si>
  <si>
    <r>
      <t>The European Technical Standards for Interoperability (TSI) include two normalized values for L</t>
    </r>
    <r>
      <rPr>
        <vertAlign val="subscript"/>
        <sz val="11"/>
        <color theme="1"/>
        <rFont val="Calibri"/>
        <family val="2"/>
        <scheme val="minor"/>
      </rPr>
      <t>pAEq,Tp</t>
    </r>
    <r>
      <rPr>
        <sz val="11"/>
        <color theme="1"/>
        <rFont val="Calibri"/>
        <family val="2"/>
        <scheme val="minor"/>
      </rPr>
      <t>.  The values are normalized to 80 km/hr and 250 km/hr.</t>
    </r>
    <r>
      <rPr>
        <vertAlign val="superscript"/>
        <sz val="11"/>
        <color theme="1"/>
        <rFont val="Calibri"/>
        <family val="2"/>
        <scheme val="minor"/>
      </rPr>
      <t>6</t>
    </r>
  </si>
  <si>
    <t>Procedures defined within the TSI to allow noise levels to be calculated at various train speeds based on measurements made at 80 km/hr (50 miles/h) and 250 km/hr (155 miles/h).</t>
  </si>
  <si>
    <r>
      <t>For the HEMU, no measurements were made at 80 km/hr and 250 km/hr</t>
    </r>
    <r>
      <rPr>
        <sz val="11"/>
        <color theme="1"/>
        <rFont val="Calibri"/>
        <family val="2"/>
        <scheme val="minor"/>
      </rPr>
      <t>:  Thus, the Gautier method was used to calculate these values</t>
    </r>
  </si>
  <si>
    <t>The measurements are made at a lateral distance of 7.5 m from the rail centerline and 1.2 m above the top of the rail.</t>
  </si>
  <si>
    <r>
      <t>From the Microphone Position 1 &amp; 2 Table Above, the normalized values for L</t>
    </r>
    <r>
      <rPr>
        <vertAlign val="subscript"/>
        <sz val="11"/>
        <color theme="1"/>
        <rFont val="Calibri"/>
        <family val="2"/>
        <scheme val="minor"/>
      </rPr>
      <t>pAeq,Tp</t>
    </r>
    <r>
      <rPr>
        <sz val="11"/>
        <color theme="1"/>
        <rFont val="Calibri"/>
        <family val="2"/>
        <scheme val="minor"/>
      </rPr>
      <t xml:space="preserve"> can be found and are idenfied below:</t>
    </r>
  </si>
  <si>
    <r>
      <t>L</t>
    </r>
    <r>
      <rPr>
        <b/>
        <vertAlign val="subscript"/>
        <sz val="11"/>
        <color theme="1"/>
        <rFont val="Calibri"/>
        <family val="2"/>
        <scheme val="minor"/>
      </rPr>
      <t>pAeq,Tp (80 km/hr)</t>
    </r>
    <r>
      <rPr>
        <b/>
        <sz val="11"/>
        <color theme="1"/>
        <rFont val="Calibri"/>
        <family val="2"/>
        <scheme val="minor"/>
      </rPr>
      <t xml:space="preserve"> =</t>
    </r>
  </si>
  <si>
    <r>
      <t>L</t>
    </r>
    <r>
      <rPr>
        <b/>
        <vertAlign val="subscript"/>
        <sz val="11"/>
        <color theme="1"/>
        <rFont val="Calibri"/>
        <family val="2"/>
        <scheme val="minor"/>
      </rPr>
      <t>pAeq,Tp (250 km/hr)</t>
    </r>
    <r>
      <rPr>
        <b/>
        <sz val="11"/>
        <color theme="1"/>
        <rFont val="Calibri"/>
        <family val="2"/>
        <scheme val="minor"/>
      </rPr>
      <t xml:space="preserve"> =</t>
    </r>
  </si>
  <si>
    <t>stock — noise’ amending Decision 2008/232/EC and repealing Decision 2011/229/EU," Official Journal of the European Union, Brussels, Belgium, 2014.</t>
  </si>
  <si>
    <r>
      <t>6</t>
    </r>
    <r>
      <rPr>
        <sz val="11"/>
        <color theme="1"/>
        <rFont val="Calibri"/>
        <family val="2"/>
        <scheme val="minor"/>
      </rPr>
      <t xml:space="preserve">European Union, "Commission Regulation Number 1304/2014, on the technical specification for interoperability relating to the subsystem ‘rolling </t>
    </r>
  </si>
  <si>
    <t>Natuurwetenschappelijk Onderzoek (TNO Industrie en Techniek), 13 December 2010.</t>
  </si>
  <si>
    <r>
      <rPr>
        <vertAlign val="superscript"/>
        <sz val="10"/>
        <color rgb="FF000000"/>
        <rFont val="Calibri"/>
        <family val="2"/>
        <scheme val="minor"/>
      </rPr>
      <t>1</t>
    </r>
    <r>
      <rPr>
        <sz val="10"/>
        <color rgb="FF000000"/>
        <rFont val="Calibri"/>
        <family val="2"/>
        <scheme val="minor"/>
      </rPr>
      <t>Dittrich, M.G., et. al., TNO Report MON-RPT-2010-03023, Geluidemissiemetingen aan V250 en</t>
    </r>
  </si>
  <si>
    <t xml:space="preserve">Thalys treinen op HSL Rheda- en ballastpoor, (Noise emission measurements on V250 and Thalys </t>
  </si>
  <si>
    <t xml:space="preserve">trains on HSL Rheda and ballast track), Nederlandse Organisatie voor Toegepast </t>
  </si>
  <si>
    <t>Thalys PBKA</t>
  </si>
  <si>
    <r>
      <t>2</t>
    </r>
    <r>
      <rPr>
        <sz val="9"/>
        <color theme="1"/>
        <rFont val="Calibri"/>
        <family val="2"/>
        <scheme val="minor"/>
      </rPr>
      <t xml:space="preserve">Thalys PBKA image used with permission: under the terms of the GNU Free Documentation License, </t>
    </r>
  </si>
  <si>
    <t xml:space="preserve">Version 1.2 or any later version published by the Free Software Foundation, </t>
  </si>
  <si>
    <t>https://commons.wikimedia.org/wiki/File:Thalys_PBKA_Refurbished_Nederland.jpg</t>
  </si>
  <si>
    <t>GEC-Alsthom</t>
  </si>
  <si>
    <t>Thalys</t>
  </si>
  <si>
    <t xml:space="preserve">   Intermediate Cars: two at 21.845 m and six at 18.7 m</t>
  </si>
  <si>
    <t>10 cars: 2 end cars and 8 intermediate cars</t>
  </si>
  <si>
    <t>The following calculations are for Microphone Position 1</t>
  </si>
  <si>
    <t>Microphone Position is 7.5 m from track centerline and 1.5 m above top of rail (Microphone Position 1).</t>
  </si>
  <si>
    <t>TEL is calculated using the following formula:</t>
  </si>
  <si>
    <r>
      <t>Test Speed</t>
    </r>
    <r>
      <rPr>
        <sz val="10"/>
        <color theme="1"/>
        <rFont val="Arial"/>
        <family val="2"/>
      </rPr>
      <t>→</t>
    </r>
  </si>
  <si>
    <t>CRH3 Series (based on Siemens)</t>
  </si>
  <si>
    <r>
      <t>2</t>
    </r>
    <r>
      <rPr>
        <sz val="9"/>
        <color theme="1"/>
        <rFont val="Calibri"/>
        <family val="2"/>
        <scheme val="minor"/>
      </rPr>
      <t xml:space="preserve">China CRH3 Series High Speed Train Image; provided by </t>
    </r>
    <r>
      <rPr>
        <i/>
        <sz val="9"/>
        <color theme="1"/>
        <rFont val="Calibri"/>
        <family val="2"/>
        <scheme val="minor"/>
      </rPr>
      <t>Railway Technology</t>
    </r>
    <r>
      <rPr>
        <sz val="9"/>
        <color theme="1"/>
        <rFont val="Calibri"/>
        <family val="2"/>
        <scheme val="minor"/>
      </rPr>
      <t>, 2019,</t>
    </r>
  </si>
  <si>
    <t xml:space="preserve"> https://www.railway-technology.com/projects/beijing-tianjin/</t>
  </si>
  <si>
    <t xml:space="preserve">   Intermediate Cars: </t>
  </si>
  <si>
    <t>Changchun Railway Vehicles, Siemens</t>
  </si>
  <si>
    <t>China Railway Corporation</t>
  </si>
  <si>
    <r>
      <rPr>
        <vertAlign val="superscript"/>
        <sz val="10"/>
        <rFont val="Calibri"/>
        <family val="2"/>
        <scheme val="minor"/>
      </rPr>
      <t>1</t>
    </r>
    <r>
      <rPr>
        <sz val="10"/>
        <rFont val="Calibri"/>
        <family val="2"/>
        <scheme val="minor"/>
      </rPr>
      <t xml:space="preserve">He, B., </t>
    </r>
    <r>
      <rPr>
        <i/>
        <sz val="10"/>
        <rFont val="Calibri"/>
        <family val="2"/>
        <scheme val="minor"/>
      </rPr>
      <t>et. al.</t>
    </r>
    <r>
      <rPr>
        <sz val="10"/>
        <rFont val="Calibri"/>
        <family val="2"/>
        <scheme val="minor"/>
      </rPr>
      <t xml:space="preserve">, Investigation into Exterior Noise of a High-Speed Train at Different Speeds, </t>
    </r>
    <r>
      <rPr>
        <i/>
        <sz val="10"/>
        <rFont val="Calibri"/>
        <family val="2"/>
        <scheme val="minor"/>
      </rPr>
      <t/>
    </r>
  </si>
  <si>
    <t>J. Zhejang Univ-Sci A (Applied Physics and Enginering), 2014, Vol 15 (12), Pages 1019-1033.</t>
  </si>
  <si>
    <t>The measurements are made at a lateral distance of 7.5 m from the rail centerline and 3.5 m above the top of the rail.</t>
  </si>
  <si>
    <t>The measurements are made at a lateral distance of 7.5 m from the rail centerline and 1.5 m above the top of the rail.</t>
  </si>
  <si>
    <t>Microphone Position is 25 m from track centerline and 3.5 m above top of rail (Microphone Position 3).</t>
  </si>
  <si>
    <t>The following calculations are for Microphone Position 3</t>
  </si>
  <si>
    <t>SEL at 25 m:</t>
  </si>
  <si>
    <t>Speed (km/hr)</t>
  </si>
  <si>
    <t>M1</t>
  </si>
  <si>
    <t>M2</t>
  </si>
  <si>
    <t>M3</t>
  </si>
  <si>
    <r>
      <t>L</t>
    </r>
    <r>
      <rPr>
        <b/>
        <vertAlign val="subscript"/>
        <sz val="10"/>
        <color theme="1"/>
        <rFont val="Calibri"/>
        <family val="2"/>
        <scheme val="minor"/>
      </rPr>
      <t xml:space="preserve">pAeq,Tp     </t>
    </r>
    <r>
      <rPr>
        <b/>
        <sz val="10"/>
        <color theme="1"/>
        <rFont val="Calibri"/>
        <family val="2"/>
        <scheme val="minor"/>
      </rPr>
      <t>dB(A)</t>
    </r>
  </si>
  <si>
    <r>
      <t>Microphone Position Adjustment Factors</t>
    </r>
    <r>
      <rPr>
        <b/>
        <vertAlign val="superscript"/>
        <sz val="10"/>
        <color theme="1"/>
        <rFont val="Calibri"/>
        <family val="2"/>
        <scheme val="minor"/>
      </rPr>
      <t>5</t>
    </r>
  </si>
  <si>
    <r>
      <t>From the Microphone Position 1 Table Above, the normalized values for L</t>
    </r>
    <r>
      <rPr>
        <vertAlign val="subscript"/>
        <sz val="11"/>
        <color theme="1"/>
        <rFont val="Calibri"/>
        <family val="2"/>
        <scheme val="minor"/>
      </rPr>
      <t>pAeq,Tp</t>
    </r>
    <r>
      <rPr>
        <sz val="11"/>
        <color theme="1"/>
        <rFont val="Calibri"/>
        <family val="2"/>
        <scheme val="minor"/>
      </rPr>
      <t xml:space="preserve"> can be found and are idenfied below:</t>
    </r>
  </si>
  <si>
    <r>
      <t>For the CRH3 Series Trains, no measurements were made at 80 km/hr and 250 km/hr</t>
    </r>
    <r>
      <rPr>
        <sz val="11"/>
        <color theme="1"/>
        <rFont val="Calibri"/>
        <family val="2"/>
        <scheme val="minor"/>
      </rPr>
      <t>:  Thus, the Gautier method was used to calculate these values</t>
    </r>
  </si>
  <si>
    <r>
      <t>For the CHR3 Series Trains, no measurements were made at 80 km/hr and 250 km/hr</t>
    </r>
    <r>
      <rPr>
        <sz val="11"/>
        <color theme="1"/>
        <rFont val="Calibri"/>
        <family val="2"/>
        <scheme val="minor"/>
      </rPr>
      <t>:  Thus, the Gautier method was used to calculate these values</t>
    </r>
  </si>
  <si>
    <r>
      <t>For the Thalys PBKA, no measurements were made at 80 km/hr and 250 km/hr</t>
    </r>
    <r>
      <rPr>
        <sz val="11"/>
        <color theme="1"/>
        <rFont val="Calibri"/>
        <family val="2"/>
        <scheme val="minor"/>
      </rPr>
      <t>:  Thus, the Gautier method was used to calculate these values</t>
    </r>
  </si>
  <si>
    <t>Microphone Position 1                                                       Noise Metric: Table Entries are dB(A)</t>
  </si>
  <si>
    <t>Microphone Position 1                                                          Noise Metric: Table Entries are dB(A)</t>
  </si>
  <si>
    <t>Microphone Position 2                                                        Noise Metric: Table Entries are dB(A)</t>
  </si>
  <si>
    <r>
      <t>From the Microphone Position 1 Table Above, the normalized values for L</t>
    </r>
    <r>
      <rPr>
        <vertAlign val="subscript"/>
        <sz val="11"/>
        <color theme="1"/>
        <rFont val="Calibri"/>
        <family val="2"/>
        <scheme val="minor"/>
      </rPr>
      <t>pAeq,Tp</t>
    </r>
    <r>
      <rPr>
        <sz val="11"/>
        <color theme="1"/>
        <rFont val="Calibri"/>
        <family val="2"/>
        <scheme val="minor"/>
      </rPr>
      <t xml:space="preserve"> can be found and are identified below:</t>
    </r>
  </si>
  <si>
    <t>Microphone Position 1                                                    Noise Metric: Table Entries are dB(A)</t>
  </si>
  <si>
    <t>Position Designation</t>
  </si>
  <si>
    <t>See individual worksheets for details of each train set.</t>
  </si>
  <si>
    <t>Track Roughness</t>
  </si>
  <si>
    <t>Microphone Positions 1                                                       Noise Metric: Table Entries are dB(A)</t>
  </si>
  <si>
    <t>Pass-By Noise Comparisons</t>
  </si>
  <si>
    <t>Microphone Position 1:</t>
  </si>
  <si>
    <t>Speed = 250 km/hr</t>
  </si>
  <si>
    <t>Pass-By Noise Metric</t>
  </si>
  <si>
    <t>Speed = 80 km/hr</t>
  </si>
  <si>
    <r>
      <t>L</t>
    </r>
    <r>
      <rPr>
        <vertAlign val="subscript"/>
        <sz val="11"/>
        <color theme="1"/>
        <rFont val="Calibri"/>
        <family val="2"/>
        <scheme val="minor"/>
      </rPr>
      <t>pAeq,Tp</t>
    </r>
    <r>
      <rPr>
        <sz val="11"/>
        <color theme="1"/>
        <rFont val="Calibri"/>
        <family val="2"/>
        <scheme val="minor"/>
      </rPr>
      <t>(80 km/h) = L</t>
    </r>
    <r>
      <rPr>
        <vertAlign val="subscript"/>
        <sz val="11"/>
        <color theme="1"/>
        <rFont val="Calibri"/>
        <family val="2"/>
        <scheme val="minor"/>
      </rPr>
      <t>pAeq,Tp</t>
    </r>
    <r>
      <rPr>
        <sz val="11"/>
        <color theme="1"/>
        <rFont val="Calibri"/>
        <family val="2"/>
        <scheme val="minor"/>
      </rPr>
      <t xml:space="preserve">(vtest) - 30 * log (vtest/80 km/h) </t>
    </r>
  </si>
  <si>
    <r>
      <t>L</t>
    </r>
    <r>
      <rPr>
        <vertAlign val="subscript"/>
        <sz val="11"/>
        <color theme="1"/>
        <rFont val="Calibri"/>
        <family val="2"/>
        <scheme val="minor"/>
      </rPr>
      <t>pAeq,Tp</t>
    </r>
    <r>
      <rPr>
        <sz val="11"/>
        <color theme="1"/>
        <rFont val="Calibri"/>
        <family val="2"/>
        <scheme val="minor"/>
      </rPr>
      <t>(250 km/h) = L</t>
    </r>
    <r>
      <rPr>
        <vertAlign val="subscript"/>
        <sz val="11"/>
        <color theme="1"/>
        <rFont val="Calibri"/>
        <family val="2"/>
        <scheme val="minor"/>
      </rPr>
      <t>pAeq,Tp</t>
    </r>
    <r>
      <rPr>
        <sz val="11"/>
        <color theme="1"/>
        <rFont val="Calibri"/>
        <family val="2"/>
        <scheme val="minor"/>
      </rPr>
      <t xml:space="preserve">(vtest) - 50 * log (vtest/250 km/h) </t>
    </r>
  </si>
  <si>
    <t>Values Obtained from Data Analysis</t>
  </si>
  <si>
    <t>Value from TSI Formula</t>
  </si>
  <si>
    <t>TSI Formulas</t>
  </si>
  <si>
    <t>The empirical factor, K, varies with train speed: it is on the order of 30 in speed</t>
  </si>
  <si>
    <t xml:space="preserve">range to 300 kph and up to 50 for very high speed trains, for which aerodynamic </t>
  </si>
  <si>
    <t>noise sources are dominant.</t>
  </si>
  <si>
    <r>
      <t>L</t>
    </r>
    <r>
      <rPr>
        <b/>
        <vertAlign val="subscript"/>
        <sz val="10"/>
        <color theme="1"/>
        <rFont val="Calibri"/>
        <family val="2"/>
        <scheme val="minor"/>
      </rPr>
      <t>pAeq,Tp (80 km/hr)</t>
    </r>
    <r>
      <rPr>
        <b/>
        <sz val="10"/>
        <color theme="1"/>
        <rFont val="Calibri"/>
        <family val="2"/>
        <scheme val="minor"/>
      </rPr>
      <t xml:space="preserve"> =</t>
    </r>
  </si>
  <si>
    <r>
      <t>L</t>
    </r>
    <r>
      <rPr>
        <vertAlign val="subscript"/>
        <sz val="10"/>
        <color theme="1"/>
        <rFont val="Calibri"/>
        <family val="2"/>
        <scheme val="minor"/>
      </rPr>
      <t>pAeq,Tp</t>
    </r>
    <r>
      <rPr>
        <sz val="10"/>
        <color theme="1"/>
        <rFont val="Calibri"/>
        <family val="2"/>
        <scheme val="minor"/>
      </rPr>
      <t>(80 km/h) = L</t>
    </r>
    <r>
      <rPr>
        <vertAlign val="subscript"/>
        <sz val="10"/>
        <color theme="1"/>
        <rFont val="Calibri"/>
        <family val="2"/>
        <scheme val="minor"/>
      </rPr>
      <t>pAeq,Tp</t>
    </r>
    <r>
      <rPr>
        <sz val="10"/>
        <color theme="1"/>
        <rFont val="Calibri"/>
        <family val="2"/>
        <scheme val="minor"/>
      </rPr>
      <t xml:space="preserve">(vtest) - 30 * log (vtest/80 km/h) </t>
    </r>
  </si>
  <si>
    <r>
      <t>L</t>
    </r>
    <r>
      <rPr>
        <b/>
        <vertAlign val="subscript"/>
        <sz val="10"/>
        <color theme="1"/>
        <rFont val="Calibri"/>
        <family val="2"/>
        <scheme val="minor"/>
      </rPr>
      <t>pAeq,Tp (250 km/hr)</t>
    </r>
    <r>
      <rPr>
        <b/>
        <sz val="10"/>
        <color theme="1"/>
        <rFont val="Calibri"/>
        <family val="2"/>
        <scheme val="minor"/>
      </rPr>
      <t xml:space="preserve"> =</t>
    </r>
  </si>
  <si>
    <r>
      <t>L</t>
    </r>
    <r>
      <rPr>
        <vertAlign val="subscript"/>
        <sz val="10"/>
        <color theme="1"/>
        <rFont val="Calibri"/>
        <family val="2"/>
        <scheme val="minor"/>
      </rPr>
      <t>pAeq,Tp</t>
    </r>
    <r>
      <rPr>
        <sz val="10"/>
        <color theme="1"/>
        <rFont val="Calibri"/>
        <family val="2"/>
        <scheme val="minor"/>
      </rPr>
      <t>(250 km/h) = L</t>
    </r>
    <r>
      <rPr>
        <vertAlign val="subscript"/>
        <sz val="10"/>
        <color theme="1"/>
        <rFont val="Calibri"/>
        <family val="2"/>
        <scheme val="minor"/>
      </rPr>
      <t>pAeq,Tp</t>
    </r>
    <r>
      <rPr>
        <sz val="10"/>
        <color theme="1"/>
        <rFont val="Calibri"/>
        <family val="2"/>
        <scheme val="minor"/>
      </rPr>
      <t xml:space="preserve">(vtest) - 50 * log (vtest/250 km/h) </t>
    </r>
  </si>
  <si>
    <t>K = 0.0625(Train Speed, km/hr) + 25</t>
  </si>
  <si>
    <t>US and China measurement location</t>
  </si>
  <si>
    <r>
      <t>Comparison of L</t>
    </r>
    <r>
      <rPr>
        <vertAlign val="subscript"/>
        <sz val="11"/>
        <color theme="1"/>
        <rFont val="Calibri"/>
        <family val="2"/>
        <scheme val="minor"/>
      </rPr>
      <t>pAeq,Tp</t>
    </r>
    <r>
      <rPr>
        <sz val="11"/>
        <color theme="1"/>
        <rFont val="Calibri"/>
        <family val="2"/>
        <scheme val="minor"/>
      </rPr>
      <t xml:space="preserve"> values:  Data Reduction vs. TSI NOI 2014 Methods</t>
    </r>
  </si>
  <si>
    <t>China CRH3 Series, Microphone 1</t>
  </si>
  <si>
    <t>China CRH3 Series, Microphone 2</t>
  </si>
  <si>
    <t>China CRH3 Series, Microphone 3</t>
  </si>
  <si>
    <r>
      <t>L</t>
    </r>
    <r>
      <rPr>
        <b/>
        <vertAlign val="subscript"/>
        <sz val="11"/>
        <color theme="1"/>
        <rFont val="Calibri"/>
        <family val="2"/>
        <scheme val="minor"/>
      </rPr>
      <t>pAeq,Tp (80 kph)  dB(A)</t>
    </r>
  </si>
  <si>
    <t>Calculated</t>
  </si>
  <si>
    <t>TSI NOI (2014)</t>
  </si>
  <si>
    <r>
      <t>L</t>
    </r>
    <r>
      <rPr>
        <b/>
        <vertAlign val="subscript"/>
        <sz val="11"/>
        <color theme="1"/>
        <rFont val="Calibri"/>
        <family val="2"/>
        <scheme val="minor"/>
      </rPr>
      <t>pAeq,Tp (250 kph)  dB(A)</t>
    </r>
  </si>
  <si>
    <t>Pass-By Noise Metrics</t>
  </si>
  <si>
    <r>
      <t>Comparison of L</t>
    </r>
    <r>
      <rPr>
        <b/>
        <vertAlign val="subscript"/>
        <sz val="11"/>
        <color theme="1"/>
        <rFont val="Calibri"/>
        <family val="2"/>
        <scheme val="minor"/>
      </rPr>
      <t>pAeq,Tp</t>
    </r>
    <r>
      <rPr>
        <b/>
        <sz val="11"/>
        <color theme="1"/>
        <rFont val="Calibri"/>
        <family val="2"/>
        <scheme val="minor"/>
      </rPr>
      <t xml:space="preserve"> Calculations</t>
    </r>
  </si>
  <si>
    <r>
      <t>Comparisons of L</t>
    </r>
    <r>
      <rPr>
        <b/>
        <vertAlign val="subscript"/>
        <sz val="11"/>
        <color theme="1"/>
        <rFont val="Calibri"/>
        <family val="2"/>
        <scheme val="minor"/>
      </rPr>
      <t>max (fast)</t>
    </r>
    <r>
      <rPr>
        <b/>
        <sz val="11"/>
        <color theme="1"/>
        <rFont val="Calibri"/>
        <family val="2"/>
        <scheme val="minor"/>
      </rPr>
      <t xml:space="preserve"> (which is equal to L</t>
    </r>
    <r>
      <rPr>
        <b/>
        <vertAlign val="subscript"/>
        <sz val="11"/>
        <color theme="1"/>
        <rFont val="Calibri"/>
        <family val="2"/>
        <scheme val="minor"/>
      </rPr>
      <t>pAFmax</t>
    </r>
    <r>
      <rPr>
        <b/>
        <sz val="11"/>
        <color theme="1"/>
        <rFont val="Calibri"/>
        <family val="2"/>
        <scheme val="minor"/>
      </rPr>
      <t xml:space="preserve"> ) for trainsets relative to US regulations.</t>
    </r>
  </si>
  <si>
    <t>Microphone Position 4 (30 m from track centerline and 1.2 meters above top of rail)</t>
  </si>
  <si>
    <r>
      <t>L</t>
    </r>
    <r>
      <rPr>
        <b/>
        <vertAlign val="subscript"/>
        <sz val="11"/>
        <color theme="1"/>
        <rFont val="Calibri"/>
        <family val="2"/>
        <scheme val="minor"/>
      </rPr>
      <t>max (fast)</t>
    </r>
    <r>
      <rPr>
        <b/>
        <sz val="11"/>
        <color theme="1"/>
        <rFont val="Calibri"/>
        <family val="2"/>
        <scheme val="minor"/>
      </rPr>
      <t xml:space="preserve">   dB(A)</t>
    </r>
  </si>
  <si>
    <t>Train Speed   (km/hr)</t>
  </si>
  <si>
    <t>China CRH3 Series, Microphone 4</t>
  </si>
  <si>
    <t>References:</t>
  </si>
  <si>
    <r>
      <t>2</t>
    </r>
    <r>
      <rPr>
        <sz val="11"/>
        <color theme="1"/>
        <rFont val="Calibri"/>
        <family val="2"/>
        <scheme val="minor"/>
      </rPr>
      <t xml:space="preserve">European Committee for Standardization (CEN), "BS EN 15610, Railway Applications; Noise Emission; Rail Roughness Measurement Related to Rolling Noise Generation," </t>
    </r>
  </si>
  <si>
    <t>British Standards Institution, London, England, 2009.</t>
  </si>
  <si>
    <t>Reference, TSI Noise Regulations (2014)</t>
  </si>
  <si>
    <r>
      <t>1</t>
    </r>
    <r>
      <rPr>
        <sz val="11"/>
        <color theme="1"/>
        <rFont val="Calibri"/>
        <family val="2"/>
        <scheme val="minor"/>
      </rPr>
      <t xml:space="preserve"> is the 1/3 octave band roughness level, dB(A)</t>
    </r>
  </si>
  <si>
    <r>
      <t>2</t>
    </r>
    <r>
      <rPr>
        <sz val="11"/>
        <color theme="1"/>
        <rFont val="Calibri"/>
        <family val="2"/>
        <scheme val="minor"/>
      </rPr>
      <t xml:space="preserve"> is the wavelength (cm)</t>
    </r>
  </si>
  <si>
    <r>
      <t>3</t>
    </r>
    <r>
      <rPr>
        <sz val="11"/>
        <color theme="1"/>
        <rFont val="Calibri"/>
        <family val="2"/>
        <scheme val="minor"/>
      </rPr>
      <t xml:space="preserve"> is the 1/3 octave band roughness level, dB(A)</t>
    </r>
  </si>
  <si>
    <t xml:space="preserve">The dynamic properties of the test track are considered suitable for acceptable noise measurements if the one-third octave band track decay rates spectra measured according to EN15461 </t>
  </si>
  <si>
    <t>Upper Limit Curve for TSI-Compliant Acoustic Rail Roughness</t>
  </si>
  <si>
    <r>
      <t>1</t>
    </r>
    <r>
      <rPr>
        <sz val="11"/>
        <color theme="1"/>
        <rFont val="Calibri"/>
        <family val="2"/>
        <scheme val="minor"/>
      </rPr>
      <t xml:space="preserve"> is the track decay rate, dB/m</t>
    </r>
  </si>
  <si>
    <r>
      <t>2</t>
    </r>
    <r>
      <rPr>
        <sz val="11"/>
        <color theme="1"/>
        <rFont val="Calibri"/>
        <family val="2"/>
        <scheme val="minor"/>
      </rPr>
      <t xml:space="preserve"> is the frequency, Hz</t>
    </r>
  </si>
  <si>
    <r>
      <t>3</t>
    </r>
    <r>
      <rPr>
        <sz val="11"/>
        <color theme="1"/>
        <rFont val="Calibri"/>
        <family val="2"/>
        <scheme val="minor"/>
      </rPr>
      <t xml:space="preserve"> is the track decay rate in the vertical direction</t>
    </r>
  </si>
  <si>
    <r>
      <t>4</t>
    </r>
    <r>
      <rPr>
        <sz val="11"/>
        <color theme="1"/>
        <rFont val="Calibri"/>
        <family val="2"/>
        <scheme val="minor"/>
      </rPr>
      <t xml:space="preserve"> is the track decay rate in the lateral direction</t>
    </r>
  </si>
  <si>
    <t xml:space="preserve"> Lower Limit Curves for TSI-Compliant Track Decay Rates</t>
  </si>
  <si>
    <t>levels.  The EU TSI NOI provided guidelines for determining acceptable levels of track surface roughness.</t>
  </si>
  <si>
    <r>
      <t>The EU Technical Specifications for Interoperability define track surface roughness and dynamics characteristics for pass-by noise measurements.</t>
    </r>
    <r>
      <rPr>
        <vertAlign val="superscript"/>
        <sz val="11"/>
        <color theme="1"/>
        <rFont val="Calibri"/>
        <family val="2"/>
        <scheme val="minor"/>
      </rPr>
      <t>1</t>
    </r>
    <r>
      <rPr>
        <sz val="11"/>
        <color theme="1"/>
        <rFont val="Calibri"/>
        <family val="2"/>
        <scheme val="minor"/>
      </rPr>
      <t xml:space="preserve">  The “rail acoustic roughness” of the test </t>
    </r>
  </si>
  <si>
    <t xml:space="preserve">track is considered suitable for comparable measurements if the one-third octave band roughness spectra assessed according to EN15610 (European Standard for Rail Roughness </t>
  </si>
  <si>
    <t xml:space="preserve">Measurement Related to Rolling Noise Generation)2 throughout the test, fulfill the following upper limit: the wavelength bandwidth is to be at least 0.003 m to 0.10 m (0.3 cm to 10.0 cm) </t>
  </si>
  <si>
    <t>[0.010 ft to 0.328 ft (0.118 inches to 3.94 inches)] corresponding to the graph below.</t>
  </si>
  <si>
    <r>
      <t>(European Standard for Characterization of the Dynamic Properties of Track Selections for Pass By Noise Measurements)</t>
    </r>
    <r>
      <rPr>
        <vertAlign val="superscript"/>
        <sz val="11"/>
        <color theme="1"/>
        <rFont val="Calibri"/>
        <family val="2"/>
        <scheme val="minor"/>
      </rPr>
      <t>3</t>
    </r>
    <r>
      <rPr>
        <sz val="11"/>
        <color theme="1"/>
        <rFont val="Calibri"/>
        <family val="2"/>
        <scheme val="minor"/>
      </rPr>
      <t xml:space="preserve"> throughout the test section fulfill the limits shown in the graph</t>
    </r>
  </si>
  <si>
    <t xml:space="preserve"> below.</t>
  </si>
  <si>
    <r>
      <rPr>
        <vertAlign val="superscript"/>
        <sz val="11"/>
        <color theme="1"/>
        <rFont val="Calibri"/>
        <family val="2"/>
        <scheme val="minor"/>
      </rPr>
      <t>1</t>
    </r>
    <r>
      <rPr>
        <sz val="11"/>
        <color theme="1"/>
        <rFont val="Calibri"/>
        <family val="2"/>
        <scheme val="minor"/>
      </rPr>
      <t xml:space="preserve">D. Biasin and B. Leermakers, "Interoperability Unit, Trans-European Conventional Rail System, Subsystem Rolling Stock, TSI Rolling Stock - Noise, </t>
    </r>
  </si>
  <si>
    <t>Reference IU-NOI-11032010_TSI rev 3.0," The European Railway Agency, European Commission, Valenciennes, France, 2010.</t>
  </si>
  <si>
    <r>
      <t>3</t>
    </r>
    <r>
      <rPr>
        <sz val="11"/>
        <color theme="1"/>
        <rFont val="Calibri"/>
        <family val="2"/>
        <scheme val="minor"/>
      </rPr>
      <t xml:space="preserve">E. C. f. Standardization, "BS EN 15461: 2008 + A1: 2010, Railway Applications, Noise Emission, Characterization of the Dynamic Properties of Track Selections for Pass By Noise </t>
    </r>
  </si>
  <si>
    <t>Measurements," British Standards Institute, London, England, 2010.</t>
  </si>
  <si>
    <t>A. Compare selected train sets to US Regulations</t>
  </si>
  <si>
    <t>The A-weighted equivalent sound level measured during the day time, dB(A).  The sound</t>
  </si>
  <si>
    <t>level averaged on an energy basis is:</t>
  </si>
  <si>
    <r>
      <t>L</t>
    </r>
    <r>
      <rPr>
        <vertAlign val="subscript"/>
        <sz val="11"/>
        <color theme="1"/>
        <rFont val="Calibri"/>
        <family val="2"/>
        <scheme val="minor"/>
      </rPr>
      <t>d</t>
    </r>
  </si>
  <si>
    <t xml:space="preserve">The A-weighted equivalent sound level measured during the night time, dB(A).  The </t>
  </si>
  <si>
    <r>
      <t>L</t>
    </r>
    <r>
      <rPr>
        <vertAlign val="subscript"/>
        <sz val="11"/>
        <color theme="1"/>
        <rFont val="Calibri"/>
        <family val="2"/>
        <scheme val="minor"/>
      </rPr>
      <t>n</t>
    </r>
  </si>
  <si>
    <t xml:space="preserve">Measuring conditions should meet the GB 3222 standards (Measurement Methods for Community Noise [139] which states measurements should be taken in the absence of rain or snow.  </t>
  </si>
  <si>
    <t>Measurement time to be day or night; 16 hours is the duration for day measurements and 8 hours is the duration for night measurements.</t>
  </si>
  <si>
    <t>Data Point Number for Start of Passby Event (time passby SPLs begin being recorded):</t>
  </si>
  <si>
    <t>Data Point Number for End of Passby Event (time passby SPLs end being recorded):</t>
  </si>
  <si>
    <t>The A-weighted equivalent sound level measured during the day time, dB(A).  The sound level averaged on an energy basis is:</t>
  </si>
  <si>
    <r>
      <t>L</t>
    </r>
    <r>
      <rPr>
        <vertAlign val="subscript"/>
        <sz val="11"/>
        <color theme="1"/>
        <rFont val="Calibri"/>
        <family val="2"/>
        <scheme val="minor"/>
      </rPr>
      <t>d</t>
    </r>
    <r>
      <rPr>
        <sz val="11"/>
        <color theme="1"/>
        <rFont val="Calibri"/>
        <family val="2"/>
        <scheme val="minor"/>
      </rPr>
      <t xml:space="preserve">   =</t>
    </r>
  </si>
  <si>
    <t>China CRH3 Series</t>
  </si>
  <si>
    <t>Specific Parameters</t>
  </si>
  <si>
    <t>Common Parameters</t>
  </si>
  <si>
    <t>Duration of Night Time Period</t>
  </si>
  <si>
    <t>hours</t>
  </si>
  <si>
    <t>Train Speed:</t>
  </si>
  <si>
    <t>Korean HEMU-430X Train Length</t>
  </si>
  <si>
    <t>Thalys PBKA Train Length</t>
  </si>
  <si>
    <t>China CRH3 Series Train Length</t>
  </si>
  <si>
    <r>
      <t>equation for L</t>
    </r>
    <r>
      <rPr>
        <vertAlign val="subscript"/>
        <sz val="11"/>
        <color theme="1"/>
        <rFont val="Calibri"/>
        <family val="2"/>
        <scheme val="minor"/>
      </rPr>
      <t>n</t>
    </r>
    <r>
      <rPr>
        <sz val="11"/>
        <color theme="1"/>
        <rFont val="Calibri"/>
        <family val="2"/>
        <scheme val="minor"/>
      </rPr>
      <t xml:space="preserve"> would be the same as that for L</t>
    </r>
    <r>
      <rPr>
        <vertAlign val="subscript"/>
        <sz val="11"/>
        <color theme="1"/>
        <rFont val="Calibri"/>
        <family val="2"/>
        <scheme val="minor"/>
      </rPr>
      <t>d</t>
    </r>
    <r>
      <rPr>
        <sz val="11"/>
        <color theme="1"/>
        <rFont val="Calibri"/>
        <family val="2"/>
        <scheme val="minor"/>
      </rPr>
      <t xml:space="preserve"> with the sound levels corresponding to </t>
    </r>
  </si>
  <si>
    <t>Number of Trains during 8-Hour Night Period</t>
  </si>
  <si>
    <r>
      <t xml:space="preserve">For this case, </t>
    </r>
    <r>
      <rPr>
        <i/>
        <sz val="10"/>
        <color theme="1"/>
        <rFont val="Calibri"/>
        <family val="2"/>
        <scheme val="minor"/>
      </rPr>
      <t>t(j)</t>
    </r>
    <r>
      <rPr>
        <sz val="10"/>
        <color theme="1"/>
        <rFont val="Calibri"/>
        <family val="2"/>
        <scheme val="minor"/>
      </rPr>
      <t xml:space="preserve"> =   </t>
    </r>
  </si>
  <si>
    <t>Compliance with China Noise Regulations</t>
  </si>
  <si>
    <t xml:space="preserve">   </t>
  </si>
  <si>
    <r>
      <t>The A-weighted equivalent sound level measured during the night time, dB(A).  The equation for L</t>
    </r>
    <r>
      <rPr>
        <vertAlign val="subscript"/>
        <sz val="11"/>
        <color theme="1"/>
        <rFont val="Calibri"/>
        <family val="2"/>
        <scheme val="minor"/>
      </rPr>
      <t>n</t>
    </r>
    <r>
      <rPr>
        <sz val="11"/>
        <color theme="1"/>
        <rFont val="Calibri"/>
        <family val="2"/>
        <scheme val="minor"/>
      </rPr>
      <t xml:space="preserve"> would be the same as that for L</t>
    </r>
    <r>
      <rPr>
        <vertAlign val="subscript"/>
        <sz val="11"/>
        <color theme="1"/>
        <rFont val="Calibri"/>
        <family val="2"/>
        <scheme val="minor"/>
      </rPr>
      <t>d</t>
    </r>
    <r>
      <rPr>
        <sz val="11"/>
        <color theme="1"/>
        <rFont val="Calibri"/>
        <family val="2"/>
        <scheme val="minor"/>
      </rPr>
      <t xml:space="preserve"> with the sound levels corresponding to </t>
    </r>
  </si>
  <si>
    <r>
      <t>Similarly, L</t>
    </r>
    <r>
      <rPr>
        <vertAlign val="subscript"/>
        <sz val="11"/>
        <color theme="1"/>
        <rFont val="Calibri"/>
        <family val="2"/>
        <scheme val="minor"/>
      </rPr>
      <t>n</t>
    </r>
    <r>
      <rPr>
        <sz val="11"/>
        <color theme="1"/>
        <rFont val="Calibri"/>
        <family val="2"/>
        <scheme val="minor"/>
      </rPr>
      <t xml:space="preserve"> =  </t>
    </r>
  </si>
  <si>
    <t>levels corresponding to the time period defined as night .</t>
  </si>
  <si>
    <r>
      <t>L</t>
    </r>
    <r>
      <rPr>
        <b/>
        <i/>
        <vertAlign val="subscript"/>
        <sz val="11"/>
        <color theme="1"/>
        <rFont val="Calibri"/>
        <family val="2"/>
        <scheme val="minor"/>
      </rPr>
      <t>n</t>
    </r>
    <r>
      <rPr>
        <b/>
        <i/>
        <sz val="11"/>
        <color theme="1"/>
        <rFont val="Calibri"/>
        <family val="2"/>
        <scheme val="minor"/>
      </rPr>
      <t xml:space="preserve"> Calculations </t>
    </r>
  </si>
  <si>
    <r>
      <t>L</t>
    </r>
    <r>
      <rPr>
        <vertAlign val="subscript"/>
        <sz val="10"/>
        <color theme="1"/>
        <rFont val="Calibri"/>
        <family val="2"/>
        <scheme val="minor"/>
      </rPr>
      <t>n</t>
    </r>
    <r>
      <rPr>
        <sz val="10"/>
        <color theme="1"/>
        <rFont val="Calibri"/>
        <family val="2"/>
        <scheme val="minor"/>
      </rPr>
      <t xml:space="preserve"> (the A-weighted equivalent sound level measured during the night time), dB(A)</t>
    </r>
  </si>
  <si>
    <t>until the time recording of microphone SPL signals ends.</t>
  </si>
  <si>
    <t>The calculation includes all of the pass-by data points from the time recording of the microphone SPL signals starts</t>
  </si>
  <si>
    <r>
      <t>L</t>
    </r>
    <r>
      <rPr>
        <b/>
        <i/>
        <vertAlign val="subscript"/>
        <sz val="11"/>
        <color theme="1"/>
        <rFont val="Calibri"/>
        <family val="2"/>
        <scheme val="minor"/>
      </rPr>
      <t>d</t>
    </r>
    <r>
      <rPr>
        <b/>
        <i/>
        <sz val="11"/>
        <color theme="1"/>
        <rFont val="Calibri"/>
        <family val="2"/>
        <scheme val="minor"/>
      </rPr>
      <t xml:space="preserve"> Calculations </t>
    </r>
  </si>
  <si>
    <t>Number of Trains during 16-Hour Day Period</t>
  </si>
  <si>
    <r>
      <t>L</t>
    </r>
    <r>
      <rPr>
        <vertAlign val="subscript"/>
        <sz val="10"/>
        <color theme="1"/>
        <rFont val="Calibri"/>
        <family val="2"/>
        <scheme val="minor"/>
      </rPr>
      <t>d</t>
    </r>
    <r>
      <rPr>
        <sz val="10"/>
        <color theme="1"/>
        <rFont val="Calibri"/>
        <family val="2"/>
        <scheme val="minor"/>
      </rPr>
      <t xml:space="preserve"> (the A-weighted equivalent sound level measured during the day time), dB(A)</t>
    </r>
  </si>
  <si>
    <t>EU Regulations</t>
  </si>
  <si>
    <t>Compliance with Japanese Regulations</t>
  </si>
  <si>
    <t>Receiver’s cumulative noise exposure from all events over a specified time period</t>
  </si>
  <si>
    <r>
      <t>L</t>
    </r>
    <r>
      <rPr>
        <vertAlign val="subscript"/>
        <sz val="10"/>
        <color theme="1"/>
        <rFont val="Calibri"/>
        <family val="2"/>
        <scheme val="minor"/>
      </rPr>
      <t>eq</t>
    </r>
    <r>
      <rPr>
        <sz val="10"/>
        <color theme="1"/>
        <rFont val="Calibri"/>
        <family val="2"/>
        <scheme val="minor"/>
      </rPr>
      <t xml:space="preserve"> =</t>
    </r>
  </si>
  <si>
    <r>
      <t>L</t>
    </r>
    <r>
      <rPr>
        <vertAlign val="subscript"/>
        <sz val="10"/>
        <color theme="1"/>
        <rFont val="Calibri"/>
        <family val="2"/>
        <scheme val="minor"/>
      </rPr>
      <t>A</t>
    </r>
    <r>
      <rPr>
        <sz val="10"/>
        <color theme="1"/>
        <rFont val="Calibri"/>
        <family val="2"/>
        <scheme val="minor"/>
      </rPr>
      <t>(t) =</t>
    </r>
  </si>
  <si>
    <t xml:space="preserve">A-weighted equivalent continuous sound pressure level produced by the train as measured during the pass-by event </t>
  </si>
  <si>
    <r>
      <t xml:space="preserve">where the 1-hour time interval extends from </t>
    </r>
    <r>
      <rPr>
        <i/>
        <sz val="10"/>
        <color theme="1"/>
        <rFont val="Calibri"/>
        <family val="2"/>
        <scheme val="minor"/>
      </rPr>
      <t>t</t>
    </r>
    <r>
      <rPr>
        <i/>
        <vertAlign val="subscript"/>
        <sz val="10"/>
        <color theme="1"/>
        <rFont val="Calibri"/>
        <family val="2"/>
        <scheme val="minor"/>
      </rPr>
      <t>1</t>
    </r>
    <r>
      <rPr>
        <sz val="10"/>
        <color theme="1"/>
        <rFont val="Calibri"/>
        <family val="2"/>
        <scheme val="minor"/>
      </rPr>
      <t xml:space="preserve"> to </t>
    </r>
    <r>
      <rPr>
        <i/>
        <sz val="10"/>
        <color theme="1"/>
        <rFont val="Calibri"/>
        <family val="2"/>
        <scheme val="minor"/>
      </rPr>
      <t>t</t>
    </r>
    <r>
      <rPr>
        <i/>
        <vertAlign val="subscript"/>
        <sz val="10"/>
        <color theme="1"/>
        <rFont val="Calibri"/>
        <family val="2"/>
        <scheme val="minor"/>
      </rPr>
      <t>2</t>
    </r>
    <r>
      <rPr>
        <sz val="10"/>
        <color theme="1"/>
        <rFont val="Calibri"/>
        <family val="2"/>
        <scheme val="minor"/>
      </rPr>
      <t xml:space="preserve"> and T = </t>
    </r>
    <r>
      <rPr>
        <i/>
        <sz val="10"/>
        <color theme="1"/>
        <rFont val="Calibri"/>
        <family val="2"/>
        <scheme val="minor"/>
      </rPr>
      <t>t</t>
    </r>
    <r>
      <rPr>
        <i/>
        <vertAlign val="subscript"/>
        <sz val="10"/>
        <color theme="1"/>
        <rFont val="Calibri"/>
        <family val="2"/>
        <scheme val="minor"/>
      </rPr>
      <t>2</t>
    </r>
    <r>
      <rPr>
        <sz val="10"/>
        <color theme="1"/>
        <rFont val="Calibri"/>
        <family val="2"/>
        <scheme val="minor"/>
      </rPr>
      <t xml:space="preserve"> – </t>
    </r>
    <r>
      <rPr>
        <i/>
        <sz val="10"/>
        <color theme="1"/>
        <rFont val="Calibri"/>
        <family val="2"/>
        <scheme val="minor"/>
      </rPr>
      <t>t</t>
    </r>
    <r>
      <rPr>
        <i/>
        <vertAlign val="subscript"/>
        <sz val="10"/>
        <color theme="1"/>
        <rFont val="Calibri"/>
        <family val="2"/>
        <scheme val="minor"/>
      </rPr>
      <t>1</t>
    </r>
    <r>
      <rPr>
        <sz val="10"/>
        <color theme="1"/>
        <rFont val="Calibri"/>
        <family val="2"/>
        <scheme val="minor"/>
      </rPr>
      <t xml:space="preserve"> = 1 hour</t>
    </r>
  </si>
  <si>
    <t>Noise Limits for Japan Shinkansen High Speed Rail</t>
  </si>
  <si>
    <t>Code</t>
  </si>
  <si>
    <t>Applies to:</t>
  </si>
  <si>
    <t>Area Category</t>
  </si>
  <si>
    <t>Maximum Sound Pressure Level    dB(A)</t>
  </si>
  <si>
    <t>Metric for Noise Measurement</t>
  </si>
  <si>
    <t>Measurement Location</t>
  </si>
  <si>
    <t>In accordance with Basic Environmental Law (Law 91 of 1993)</t>
  </si>
  <si>
    <t>Shinkansen (HS Rail)</t>
  </si>
  <si>
    <t>I</t>
  </si>
  <si>
    <t>II</t>
  </si>
  <si>
    <t>70 or less</t>
  </si>
  <si>
    <t>75 or less</t>
  </si>
  <si>
    <t>25 m from track centerline at elevation of 1.2 m</t>
  </si>
  <si>
    <t>Notes:</t>
  </si>
  <si>
    <t>1. Area Categories:</t>
  </si>
  <si>
    <t>Residential Zones</t>
  </si>
  <si>
    <t>Commercial and Industrial Zones</t>
  </si>
  <si>
    <r>
      <t>2. The noise metric L</t>
    </r>
    <r>
      <rPr>
        <vertAlign val="subscript"/>
        <sz val="10"/>
        <color theme="1"/>
        <rFont val="Calibri"/>
        <family val="2"/>
        <scheme val="minor"/>
      </rPr>
      <t>eq</t>
    </r>
    <r>
      <rPr>
        <sz val="10"/>
        <color theme="1"/>
        <rFont val="Calibri"/>
        <family val="2"/>
        <scheme val="minor"/>
      </rPr>
      <t xml:space="preserve"> is calculated using the energy mean of the peak noise levels</t>
    </r>
  </si>
  <si>
    <t>3. Sound pressure limits are not indexed by train speed</t>
  </si>
  <si>
    <r>
      <rPr>
        <vertAlign val="superscript"/>
        <sz val="10"/>
        <color theme="1"/>
        <rFont val="Calibri"/>
        <family val="2"/>
        <scheme val="minor"/>
      </rPr>
      <t>1</t>
    </r>
    <r>
      <rPr>
        <sz val="10"/>
        <color theme="1"/>
        <rFont val="Calibri"/>
        <family val="2"/>
        <scheme val="minor"/>
      </rPr>
      <t xml:space="preserve"> Ministry of the Environment, Government of Japan, "Environmental Quality Standards for Shinkansen Superexpress Railway Noise, </t>
    </r>
  </si>
  <si>
    <r>
      <t>2</t>
    </r>
    <r>
      <rPr>
        <sz val="10"/>
        <color theme="1"/>
        <rFont val="Calibri"/>
        <family val="2"/>
        <scheme val="minor"/>
      </rPr>
      <t xml:space="preserve"> Ministry of the Environment, Government of Japan, "Environmental Quality Standards for Noise, Environmental Agency Notification No. 64, </t>
    </r>
  </si>
  <si>
    <r>
      <t>For areas adjacent to Japan's high speed train lines, the Shinkansen Superexpress Railway Noise regulations</t>
    </r>
    <r>
      <rPr>
        <vertAlign val="superscript"/>
        <sz val="10"/>
        <color theme="1"/>
        <rFont val="Calibri"/>
        <family val="2"/>
        <scheme val="minor"/>
      </rPr>
      <t>1</t>
    </r>
    <r>
      <rPr>
        <sz val="10"/>
        <color theme="1"/>
        <rFont val="Calibri"/>
        <family val="2"/>
        <scheme val="minor"/>
      </rPr>
      <t xml:space="preserve"> apply and supersedes </t>
    </r>
  </si>
  <si>
    <r>
      <t>the stricter Environmental Quality standards</t>
    </r>
    <r>
      <rPr>
        <vertAlign val="superscript"/>
        <sz val="10"/>
        <color theme="1"/>
        <rFont val="Calibri"/>
        <family val="2"/>
        <scheme val="minor"/>
      </rPr>
      <t>2</t>
    </r>
    <r>
      <rPr>
        <sz val="10"/>
        <color theme="1"/>
        <rFont val="Calibri"/>
        <family val="2"/>
        <scheme val="minor"/>
      </rPr>
      <t>.</t>
    </r>
  </si>
  <si>
    <t xml:space="preserve">  Notification No. 91," Japan Ministry of the Environment, Tokyo, Japan, 1993.</t>
  </si>
  <si>
    <t xml:space="preserve">  https://www.env.go.jp/en/air/noise/noise.html," Japan Ministry of the Environment, Tokyo, Japan, 1998.</t>
  </si>
  <si>
    <r>
      <t>The L</t>
    </r>
    <r>
      <rPr>
        <vertAlign val="subscript"/>
        <sz val="10"/>
        <color theme="1"/>
        <rFont val="Calibri"/>
        <family val="2"/>
        <scheme val="minor"/>
      </rPr>
      <t>eq</t>
    </r>
    <r>
      <rPr>
        <sz val="10"/>
        <color theme="1"/>
        <rFont val="Calibri"/>
        <family val="2"/>
        <scheme val="minor"/>
      </rPr>
      <t xml:space="preserve"> noise metric is defined by the following equation:</t>
    </r>
  </si>
  <si>
    <t xml:space="preserve">4. Measurements are to be carried out by recording the peak noise level of each of the Shinkansen trains passing in both </t>
  </si>
  <si>
    <t xml:space="preserve">   directions, in principle for 20 successive trains</t>
  </si>
  <si>
    <t>The maximum speed for Shinkansen trains is 320 km/hr.  Train speeds of 300 km/hr and 350 km/hr are included in the following analysis.</t>
  </si>
  <si>
    <r>
      <t xml:space="preserve">since </t>
    </r>
    <r>
      <rPr>
        <sz val="10"/>
        <color theme="1"/>
        <rFont val="Times New Roman"/>
        <family val="1"/>
      </rPr>
      <t>Δ</t>
    </r>
    <r>
      <rPr>
        <sz val="10"/>
        <color theme="1"/>
        <rFont val="Calibri"/>
        <family val="2"/>
      </rPr>
      <t>t/T = t(j) = the fraction of time during which the sound pressurel level L</t>
    </r>
    <r>
      <rPr>
        <vertAlign val="subscript"/>
        <sz val="10"/>
        <color theme="1"/>
        <rFont val="Calibri"/>
        <family val="2"/>
      </rPr>
      <t>A</t>
    </r>
    <r>
      <rPr>
        <sz val="10"/>
        <color theme="1"/>
        <rFont val="Calibri"/>
        <family val="2"/>
      </rPr>
      <t>(t) occurs during the time period over which L</t>
    </r>
    <r>
      <rPr>
        <vertAlign val="subscript"/>
        <sz val="10"/>
        <color theme="1"/>
        <rFont val="Calibri"/>
        <family val="2"/>
      </rPr>
      <t>eq</t>
    </r>
    <r>
      <rPr>
        <sz val="10"/>
        <color theme="1"/>
        <rFont val="Calibri"/>
        <family val="2"/>
      </rPr>
      <t xml:space="preserve"> applies, we obtain a relationship similar to</t>
    </r>
  </si>
  <si>
    <r>
      <t>Thus, L</t>
    </r>
    <r>
      <rPr>
        <vertAlign val="subscript"/>
        <sz val="10"/>
        <color theme="1"/>
        <rFont val="Calibri"/>
        <family val="2"/>
        <scheme val="minor"/>
      </rPr>
      <t>eq</t>
    </r>
    <r>
      <rPr>
        <sz val="10"/>
        <color theme="1"/>
        <rFont val="Calibri"/>
        <family val="2"/>
        <scheme val="minor"/>
      </rPr>
      <t xml:space="preserve"> (hour) =</t>
    </r>
  </si>
  <si>
    <r>
      <t>to that for L</t>
    </r>
    <r>
      <rPr>
        <vertAlign val="subscript"/>
        <sz val="10"/>
        <color theme="1"/>
        <rFont val="Calibri"/>
        <family val="2"/>
        <scheme val="minor"/>
      </rPr>
      <t>d</t>
    </r>
    <r>
      <rPr>
        <sz val="10"/>
        <color theme="1"/>
        <rFont val="Calibri"/>
        <family val="2"/>
        <scheme val="minor"/>
      </rPr>
      <t xml:space="preserve"> and L</t>
    </r>
    <r>
      <rPr>
        <vertAlign val="subscript"/>
        <sz val="10"/>
        <color theme="1"/>
        <rFont val="Calibri"/>
        <family val="2"/>
        <scheme val="minor"/>
      </rPr>
      <t>n</t>
    </r>
    <r>
      <rPr>
        <sz val="10"/>
        <color theme="1"/>
        <rFont val="Calibri"/>
        <family val="2"/>
        <scheme val="minor"/>
      </rPr>
      <t>, except for the time period being equal to 1 hour (3,600 seconds).</t>
    </r>
  </si>
  <si>
    <t>the time increment for calculating t(j) is 1 hour (3,600 seconds)</t>
  </si>
  <si>
    <r>
      <t>L</t>
    </r>
    <r>
      <rPr>
        <b/>
        <i/>
        <vertAlign val="subscript"/>
        <sz val="11"/>
        <color theme="1"/>
        <rFont val="Calibri"/>
        <family val="2"/>
        <scheme val="minor"/>
      </rPr>
      <t>eq</t>
    </r>
    <r>
      <rPr>
        <b/>
        <i/>
        <sz val="11"/>
        <color theme="1"/>
        <rFont val="Calibri"/>
        <family val="2"/>
        <scheme val="minor"/>
      </rPr>
      <t xml:space="preserve"> Calculations </t>
    </r>
  </si>
  <si>
    <t>hour</t>
  </si>
  <si>
    <t>until the time recording of microphone SPL signals ends.  For the Japan regulation the total time period is 1 hour.</t>
  </si>
  <si>
    <r>
      <t>Number of Trains during 1-Hour L</t>
    </r>
    <r>
      <rPr>
        <vertAlign val="subscript"/>
        <sz val="10"/>
        <color theme="1"/>
        <rFont val="Calibri"/>
        <family val="2"/>
        <scheme val="minor"/>
      </rPr>
      <t>eq</t>
    </r>
    <r>
      <rPr>
        <sz val="10"/>
        <color theme="1"/>
        <rFont val="Calibri"/>
        <family val="2"/>
        <scheme val="minor"/>
      </rPr>
      <t xml:space="preserve"> Time Period</t>
    </r>
  </si>
  <si>
    <r>
      <t>L</t>
    </r>
    <r>
      <rPr>
        <vertAlign val="subscript"/>
        <sz val="10"/>
        <color theme="1"/>
        <rFont val="Calibri"/>
        <family val="2"/>
        <scheme val="minor"/>
      </rPr>
      <t>eq</t>
    </r>
    <r>
      <rPr>
        <sz val="10"/>
        <color theme="1"/>
        <rFont val="Calibri"/>
        <family val="2"/>
        <scheme val="minor"/>
      </rPr>
      <t xml:space="preserve"> (the A-weighted equivalent sound level measured during a one-hour time period), dB(A)</t>
    </r>
  </si>
  <si>
    <t>CONTRAST</t>
  </si>
  <si>
    <t>Common Reference</t>
  </si>
  <si>
    <t>Original Thalys PBKA Data Set</t>
  </si>
  <si>
    <t>Passby Data (see Passby Data Set 1)</t>
  </si>
  <si>
    <t>D146*Log(C146/D141) =</t>
  </si>
  <si>
    <t>and it should be =</t>
  </si>
  <si>
    <r>
      <t xml:space="preserve"> to ensure L</t>
    </r>
    <r>
      <rPr>
        <vertAlign val="subscript"/>
        <sz val="11"/>
        <color theme="1"/>
        <rFont val="Calibri"/>
        <family val="2"/>
        <scheme val="minor"/>
      </rPr>
      <t>pAeq,Tp</t>
    </r>
    <r>
      <rPr>
        <sz val="11"/>
        <color theme="1"/>
        <rFont val="Calibri"/>
        <family val="2"/>
        <scheme val="minor"/>
      </rPr>
      <t xml:space="preserve"> = 80 dB(A)</t>
    </r>
  </si>
  <si>
    <r>
      <t>10log</t>
    </r>
    <r>
      <rPr>
        <vertAlign val="subscript"/>
        <sz val="11"/>
        <color theme="1"/>
        <rFont val="Calibri"/>
        <family val="2"/>
        <scheme val="minor"/>
      </rPr>
      <t>10</t>
    </r>
    <r>
      <rPr>
        <sz val="11"/>
        <color theme="1"/>
        <rFont val="Calibri"/>
        <family val="2"/>
        <scheme val="minor"/>
      </rPr>
      <t xml:space="preserve"> [(1/T)</t>
    </r>
    <r>
      <rPr>
        <sz val="14"/>
        <color theme="1"/>
        <rFont val="Times New Roman"/>
        <family val="1"/>
      </rPr>
      <t>Σ</t>
    </r>
    <r>
      <rPr>
        <sz val="11"/>
        <color theme="1"/>
        <rFont val="Calibri"/>
        <family val="2"/>
      </rPr>
      <t>10</t>
    </r>
    <r>
      <rPr>
        <vertAlign val="superscript"/>
        <sz val="11"/>
        <color theme="1"/>
        <rFont val="Calibri"/>
        <family val="2"/>
      </rPr>
      <t>LA(j)(t)/10</t>
    </r>
    <r>
      <rPr>
        <sz val="11"/>
        <color theme="1"/>
        <rFont val="Times New Roman"/>
        <family val="1"/>
      </rPr>
      <t>Δ</t>
    </r>
    <r>
      <rPr>
        <sz val="11"/>
        <color theme="1"/>
        <rFont val="Calibri"/>
        <family val="2"/>
      </rPr>
      <t>t]</t>
    </r>
  </si>
  <si>
    <t>In Japan, noise measurements are made at the railroad property line (microphone position 3).  Maximum sound pressure levels vary by land use category.</t>
  </si>
  <si>
    <r>
      <t>this is discretized as L</t>
    </r>
    <r>
      <rPr>
        <vertAlign val="subscript"/>
        <sz val="11"/>
        <color theme="1"/>
        <rFont val="Calibri"/>
        <family val="2"/>
        <scheme val="minor"/>
      </rPr>
      <t>eq</t>
    </r>
    <r>
      <rPr>
        <sz val="11"/>
        <color theme="1"/>
        <rFont val="Calibri"/>
        <family val="2"/>
        <scheme val="minor"/>
      </rPr>
      <t>(hour) =</t>
    </r>
  </si>
  <si>
    <t>5. Wayside noise mitigation methods, such as barriers, can be implemented to meet noise limits.</t>
  </si>
  <si>
    <r>
      <t>L</t>
    </r>
    <r>
      <rPr>
        <vertAlign val="subscript"/>
        <sz val="10"/>
        <color theme="1"/>
        <rFont val="Calibri"/>
        <family val="2"/>
        <scheme val="minor"/>
      </rPr>
      <t>eq</t>
    </r>
    <r>
      <rPr>
        <sz val="10"/>
        <color theme="1"/>
        <rFont val="Calibri"/>
        <family val="2"/>
        <scheme val="minor"/>
      </rPr>
      <t>, L</t>
    </r>
    <r>
      <rPr>
        <vertAlign val="subscript"/>
        <sz val="10"/>
        <color theme="1"/>
        <rFont val="Calibri"/>
        <family val="2"/>
        <scheme val="minor"/>
      </rPr>
      <t>Amax</t>
    </r>
  </si>
  <si>
    <r>
      <t>L</t>
    </r>
    <r>
      <rPr>
        <b/>
        <i/>
        <vertAlign val="subscript"/>
        <sz val="11"/>
        <color theme="1"/>
        <rFont val="Calibri"/>
        <family val="2"/>
        <scheme val="minor"/>
      </rPr>
      <t>Amax</t>
    </r>
    <r>
      <rPr>
        <b/>
        <i/>
        <sz val="11"/>
        <color theme="1"/>
        <rFont val="Calibri"/>
        <family val="2"/>
        <scheme val="minor"/>
      </rPr>
      <t xml:space="preserve"> Calculations </t>
    </r>
  </si>
  <si>
    <t xml:space="preserve">Since: </t>
  </si>
  <si>
    <t>and</t>
  </si>
  <si>
    <t>Microphone Position 3 (25 m from track centerline and 1.2 meters above top of rail)</t>
  </si>
  <si>
    <r>
      <t>L</t>
    </r>
    <r>
      <rPr>
        <b/>
        <vertAlign val="subscript"/>
        <sz val="11"/>
        <color theme="1"/>
        <rFont val="Calibri"/>
        <family val="2"/>
        <scheme val="minor"/>
      </rPr>
      <t>Amax (slow)</t>
    </r>
    <r>
      <rPr>
        <b/>
        <sz val="11"/>
        <color theme="1"/>
        <rFont val="Calibri"/>
        <family val="2"/>
        <scheme val="minor"/>
      </rPr>
      <t xml:space="preserve">   dB(A), Microphone Position 3 </t>
    </r>
  </si>
  <si>
    <t>Comparisons of Noise Regulations for US, EU, China, and Japan, based on Common Reference</t>
  </si>
  <si>
    <t>Regulation</t>
  </si>
  <si>
    <t>EU Normalized 80 km/hr</t>
  </si>
  <si>
    <t>EU Normalized 250 km/hr</t>
  </si>
  <si>
    <t>Maximum Value, dB(A)</t>
  </si>
  <si>
    <t>Common Reference Value, dB(A)</t>
  </si>
  <si>
    <t>US Locomotive 250 km/hr</t>
  </si>
  <si>
    <t>US Locomotive 300 km/hr</t>
  </si>
  <si>
    <t>US Locomotive 350 km/hr</t>
  </si>
  <si>
    <t>US Rail Car 250 km/hr</t>
  </si>
  <si>
    <t>US Rail Car 300 km/hr</t>
  </si>
  <si>
    <t>US Rail Car 350 km/hr</t>
  </si>
  <si>
    <t>Percent of Maximum Allowed Value   %</t>
  </si>
  <si>
    <t>US Noise Regulations</t>
  </si>
  <si>
    <t>Microphone Position 4 (30 m from track centerline, 1.2 m above top of rail)</t>
  </si>
  <si>
    <t>Microphone Position 3 (25 meters from track centerline, 1.2 meters above top of rail)</t>
  </si>
  <si>
    <r>
      <t>To complete comparisons for China regulations, need to calculate L</t>
    </r>
    <r>
      <rPr>
        <vertAlign val="subscript"/>
        <sz val="10"/>
        <color theme="1"/>
        <rFont val="Calibri"/>
        <family val="2"/>
        <scheme val="minor"/>
      </rPr>
      <t>n</t>
    </r>
    <r>
      <rPr>
        <sz val="10"/>
        <color theme="1"/>
        <rFont val="Calibri"/>
        <family val="2"/>
        <scheme val="minor"/>
      </rPr>
      <t xml:space="preserve"> and L</t>
    </r>
    <r>
      <rPr>
        <vertAlign val="subscript"/>
        <sz val="10"/>
        <color theme="1"/>
        <rFont val="Calibri"/>
        <family val="2"/>
        <scheme val="minor"/>
      </rPr>
      <t>d</t>
    </r>
    <r>
      <rPr>
        <sz val="10"/>
        <color theme="1"/>
        <rFont val="Calibri"/>
        <family val="2"/>
        <scheme val="minor"/>
      </rPr>
      <t xml:space="preserve"> for Common Reference Data Set.</t>
    </r>
  </si>
  <si>
    <t>Reference Train Length</t>
  </si>
  <si>
    <t>Train Speed</t>
  </si>
  <si>
    <r>
      <t>Calculation of Chinese L</t>
    </r>
    <r>
      <rPr>
        <b/>
        <vertAlign val="subscript"/>
        <sz val="10"/>
        <color theme="1"/>
        <rFont val="Calibri"/>
        <family val="2"/>
        <scheme val="minor"/>
      </rPr>
      <t>n</t>
    </r>
    <r>
      <rPr>
        <b/>
        <sz val="10"/>
        <color theme="1"/>
        <rFont val="Calibri"/>
        <family val="2"/>
        <scheme val="minor"/>
      </rPr>
      <t xml:space="preserve"> based on Common Reference Train Data Set</t>
    </r>
  </si>
  <si>
    <t>Duration of Day Time Period</t>
  </si>
  <si>
    <r>
      <t>Calculation of Chinese L</t>
    </r>
    <r>
      <rPr>
        <b/>
        <vertAlign val="subscript"/>
        <sz val="10"/>
        <color theme="1"/>
        <rFont val="Calibri"/>
        <family val="2"/>
        <scheme val="minor"/>
      </rPr>
      <t>d</t>
    </r>
    <r>
      <rPr>
        <b/>
        <sz val="10"/>
        <color theme="1"/>
        <rFont val="Calibri"/>
        <family val="2"/>
        <scheme val="minor"/>
      </rPr>
      <t xml:space="preserve"> based on Common Reference Train Data Set</t>
    </r>
  </si>
  <si>
    <t>Number of Trains during 16-Day Time Period</t>
  </si>
  <si>
    <t>Comparison of EU and US Regulations</t>
  </si>
  <si>
    <t>Comparison of EU and China Regulations</t>
  </si>
  <si>
    <r>
      <t>ii.  Calculate the noise metrics L</t>
    </r>
    <r>
      <rPr>
        <vertAlign val="subscript"/>
        <sz val="11"/>
        <color theme="1"/>
        <rFont val="Calibri"/>
        <family val="2"/>
        <scheme val="minor"/>
      </rPr>
      <t>eq</t>
    </r>
    <r>
      <rPr>
        <sz val="11"/>
        <color theme="1"/>
        <rFont val="Calibri"/>
        <family val="2"/>
        <scheme val="minor"/>
      </rPr>
      <t xml:space="preserve"> and L</t>
    </r>
    <r>
      <rPr>
        <vertAlign val="subscript"/>
        <sz val="11"/>
        <color theme="1"/>
        <rFont val="Calibri"/>
        <family val="2"/>
        <scheme val="minor"/>
      </rPr>
      <t>Amax</t>
    </r>
    <r>
      <rPr>
        <sz val="11"/>
        <color theme="1"/>
        <rFont val="Calibri"/>
        <family val="2"/>
        <scheme val="minor"/>
      </rPr>
      <t xml:space="preserve"> using the energy mean of the peak noise levels</t>
    </r>
  </si>
  <si>
    <r>
      <t>L</t>
    </r>
    <r>
      <rPr>
        <vertAlign val="subscript"/>
        <sz val="10"/>
        <color theme="1"/>
        <rFont val="Calibri"/>
        <family val="2"/>
        <scheme val="minor"/>
      </rPr>
      <t>eq</t>
    </r>
    <r>
      <rPr>
        <sz val="10"/>
        <color theme="1"/>
        <rFont val="Calibri"/>
        <family val="2"/>
        <scheme val="minor"/>
      </rPr>
      <t xml:space="preserve"> (hour) =</t>
    </r>
  </si>
  <si>
    <r>
      <t>Calculation of Japanese L</t>
    </r>
    <r>
      <rPr>
        <b/>
        <vertAlign val="subscript"/>
        <sz val="10"/>
        <color theme="1"/>
        <rFont val="Calibri"/>
        <family val="2"/>
        <scheme val="minor"/>
      </rPr>
      <t>eq</t>
    </r>
    <r>
      <rPr>
        <b/>
        <sz val="10"/>
        <color theme="1"/>
        <rFont val="Calibri"/>
        <family val="2"/>
        <scheme val="minor"/>
      </rPr>
      <t xml:space="preserve"> based on Common Reference Train Data Set</t>
    </r>
  </si>
  <si>
    <t>Number of Trains during 1-Hour Time Period</t>
  </si>
  <si>
    <t>The Japan Shinkansen Train noise regulations are related to Microphone Position 3 (25 m from track centerline and 1.2 m above top of rail)</t>
  </si>
  <si>
    <r>
      <t>How to Interpret this Graph:</t>
    </r>
    <r>
      <rPr>
        <sz val="10"/>
        <color theme="1"/>
        <rFont val="Calibri"/>
        <family val="2"/>
        <scheme val="minor"/>
      </rPr>
      <t xml:space="preserve">  The Common Reference Train Set exhibits </t>
    </r>
  </si>
  <si>
    <t>allowable values in the TSI regulation.  The same train set is predicted to</t>
  </si>
  <si>
    <t>maximum levels allowed by US railroad noise regulations.</t>
  </si>
  <si>
    <t>→</t>
  </si>
  <si>
    <t>Maximum Value, Pa</t>
  </si>
  <si>
    <t>Common Reference Value, Pa</t>
  </si>
  <si>
    <r>
      <t>Pa = 0.00002*(10</t>
    </r>
    <r>
      <rPr>
        <vertAlign val="superscript"/>
        <sz val="11"/>
        <color theme="1"/>
        <rFont val="Calibri"/>
        <family val="2"/>
        <scheme val="minor"/>
      </rPr>
      <t>(dB/20)</t>
    </r>
    <r>
      <rPr>
        <sz val="11"/>
        <color theme="1"/>
        <rFont val="Calibri"/>
        <family val="2"/>
        <scheme val="minor"/>
      </rPr>
      <t>)</t>
    </r>
  </si>
  <si>
    <t>emit sound pressure levels that range range from 41% to 120% of the</t>
  </si>
  <si>
    <r>
      <t>Table Above is for L</t>
    </r>
    <r>
      <rPr>
        <b/>
        <vertAlign val="subscript"/>
        <sz val="10"/>
        <color theme="1"/>
        <rFont val="Calibri"/>
        <family val="2"/>
        <scheme val="minor"/>
      </rPr>
      <t>eq</t>
    </r>
    <r>
      <rPr>
        <b/>
        <sz val="10"/>
        <color theme="1"/>
        <rFont val="Calibri"/>
        <family val="2"/>
        <scheme val="minor"/>
      </rPr>
      <t xml:space="preserve"> relative to Zone I, Residential Areas</t>
    </r>
  </si>
  <si>
    <r>
      <t>Table Above is for L</t>
    </r>
    <r>
      <rPr>
        <b/>
        <vertAlign val="subscript"/>
        <sz val="10"/>
        <color theme="1"/>
        <rFont val="Calibri"/>
        <family val="2"/>
        <scheme val="minor"/>
      </rPr>
      <t>eq</t>
    </r>
    <r>
      <rPr>
        <b/>
        <sz val="10"/>
        <color theme="1"/>
        <rFont val="Calibri"/>
        <family val="2"/>
        <scheme val="minor"/>
      </rPr>
      <t xml:space="preserve"> relative to Zone II, Commercial and Industrial Areas</t>
    </r>
  </si>
  <si>
    <t>Legal Terms and Conditions:</t>
  </si>
  <si>
    <r>
      <t xml:space="preserve">     the normalized TSI Noise (2014) regulations:  L</t>
    </r>
    <r>
      <rPr>
        <vertAlign val="subscript"/>
        <sz val="11"/>
        <color theme="1"/>
        <rFont val="Calibri"/>
        <family val="2"/>
        <scheme val="minor"/>
      </rPr>
      <t>pAeq,Tp</t>
    </r>
    <r>
      <rPr>
        <sz val="11"/>
        <color theme="1"/>
        <rFont val="Calibri"/>
        <family val="2"/>
        <scheme val="minor"/>
      </rPr>
      <t xml:space="preserve"> for 80 km/hr, which is 80 dB(A) and  L</t>
    </r>
    <r>
      <rPr>
        <vertAlign val="subscript"/>
        <sz val="11"/>
        <color theme="1"/>
        <rFont val="Calibri"/>
        <family val="2"/>
        <scheme val="minor"/>
      </rPr>
      <t>pAeq,Tp</t>
    </r>
    <r>
      <rPr>
        <sz val="11"/>
        <color theme="1"/>
        <rFont val="Calibri"/>
        <family val="2"/>
        <scheme val="minor"/>
      </rPr>
      <t xml:space="preserve"> for 250 km/hr, which is 95 dB(A)</t>
    </r>
  </si>
  <si>
    <t xml:space="preserve">     This "Common Reference" data set was then employed to determine the noise metrics corresponding to the other countries (US, China,</t>
  </si>
  <si>
    <t xml:space="preserve">     and Japan to allow direct comparison of the noise regulations.</t>
  </si>
  <si>
    <t xml:space="preserve">     that will not exceed regulation limits.</t>
  </si>
  <si>
    <t>A Note on Accuracy and Uncertainty:</t>
  </si>
  <si>
    <t xml:space="preserve">The data sets contained in the library for the CONTRAST spreadsheet-based analysis tool were obtained by a number of researchers using standardized the standardized test procedures </t>
  </si>
  <si>
    <r>
      <rPr>
        <vertAlign val="superscript"/>
        <sz val="11"/>
        <color theme="1"/>
        <rFont val="Calibri"/>
        <family val="2"/>
        <scheme val="minor"/>
      </rPr>
      <t>2</t>
    </r>
    <r>
      <rPr>
        <sz val="11"/>
        <color theme="1"/>
        <rFont val="Calibri"/>
        <family val="2"/>
        <scheme val="minor"/>
      </rPr>
      <t xml:space="preserve"> C. Weber and L. Zoontjens, "The Uncertainty Associated with Short-Term Noise Measurements of Passenger and Freight Trains," in International Workshop on Railway Noise,</t>
    </r>
  </si>
  <si>
    <t xml:space="preserve"> IWRN 12 , Terrigal, NSW, Australia, 2016. </t>
  </si>
  <si>
    <r>
      <rPr>
        <vertAlign val="superscript"/>
        <sz val="11"/>
        <color theme="1"/>
        <rFont val="Calibri"/>
        <family val="2"/>
        <scheme val="minor"/>
      </rPr>
      <t>3</t>
    </r>
    <r>
      <rPr>
        <sz val="11"/>
        <color theme="1"/>
        <rFont val="Calibri"/>
        <family val="2"/>
        <scheme val="minor"/>
      </rPr>
      <t xml:space="preserve">International Organization for Standardization, "Draft International Standard ISO/DIS 1996-1, Acoustics - Description, Measurement and Assessment of Environmental Noise, </t>
    </r>
  </si>
  <si>
    <t>Part 1: Basic Quantities and Assessment Procedures, Reference Number ISO/DIS 1996:2014(E)," International Organization for Standardization, Geneva, Switzerland, 2014.</t>
  </si>
  <si>
    <r>
      <t>and instruments described above.  It is important to know that there are many factors that affect the accuracy and uncertainty of these data sets.</t>
    </r>
    <r>
      <rPr>
        <vertAlign val="superscript"/>
        <sz val="11"/>
        <color theme="1"/>
        <rFont val="Calibri"/>
        <family val="2"/>
        <scheme val="minor"/>
      </rPr>
      <t>1,2,3,4</t>
    </r>
    <r>
      <rPr>
        <sz val="11"/>
        <color theme="1"/>
        <rFont val="Calibri"/>
        <family val="2"/>
        <scheme val="minor"/>
      </rPr>
      <t xml:space="preserve">  Tests performed by Weber and </t>
    </r>
  </si>
  <si>
    <r>
      <t>Zoontjens</t>
    </r>
    <r>
      <rPr>
        <vertAlign val="superscript"/>
        <sz val="11"/>
        <color theme="1"/>
        <rFont val="Calibri"/>
        <family val="2"/>
        <scheme val="minor"/>
      </rPr>
      <t>2</t>
    </r>
    <r>
      <rPr>
        <sz val="11"/>
        <color theme="1"/>
        <rFont val="Calibri"/>
        <family val="2"/>
        <scheme val="minor"/>
      </rPr>
      <t xml:space="preserve"> in Australia for both passenger and freight trains included extensive measurements of pass-by noise levels (L</t>
    </r>
    <r>
      <rPr>
        <vertAlign val="subscript"/>
        <sz val="11"/>
        <color theme="1"/>
        <rFont val="Calibri"/>
        <family val="2"/>
        <scheme val="minor"/>
      </rPr>
      <t>AE</t>
    </r>
    <r>
      <rPr>
        <sz val="11"/>
        <color theme="1"/>
        <rFont val="Calibri"/>
        <family val="2"/>
        <scheme val="minor"/>
      </rPr>
      <t xml:space="preserve">).  Statistical analyses were performed for each set of data to </t>
    </r>
  </si>
  <si>
    <t xml:space="preserve">obtain the standard deviation for each pass-by event and for multiple data sets collected over periods ranging from one week to over six months.  The maximum range in log-averaged </t>
  </si>
  <si>
    <t xml:space="preserve">measured noise levels was analyzed for single data sets as well as 5, 10, 15, 20, and 60 data sets for each site.  Tests conducted on passenger trains using ISO standard-compliant </t>
  </si>
  <si>
    <t xml:space="preserve">instruments and procedures, showed standard deviations in LAE of approximately 5 dB which led to the statement: "For the measurements in this study, there is a 95% confidence that the </t>
  </si>
  <si>
    <r>
      <t>calculated noise levels are within ±3 dB of the true L</t>
    </r>
    <r>
      <rPr>
        <vertAlign val="subscript"/>
        <sz val="11"/>
        <color theme="1"/>
        <rFont val="Calibri"/>
        <family val="2"/>
        <scheme val="minor"/>
      </rPr>
      <t>Aeq(period)</t>
    </r>
    <r>
      <rPr>
        <sz val="11"/>
        <color theme="1"/>
        <rFont val="Calibri"/>
        <family val="2"/>
        <scheme val="minor"/>
      </rPr>
      <t xml:space="preserve"> noise levels when at least 20 train pass-bys of each type under the same operating conditions are measured. For the L</t>
    </r>
    <r>
      <rPr>
        <vertAlign val="subscript"/>
        <sz val="11"/>
        <color theme="1"/>
        <rFont val="Calibri"/>
        <family val="2"/>
        <scheme val="minor"/>
      </rPr>
      <t xml:space="preserve">Amax </t>
    </r>
  </si>
  <si>
    <t xml:space="preserve">assessment parameter, the uncertainty increases to approximately ±5 dB for the same number of train pass-bys".  </t>
  </si>
  <si>
    <t>not included in the 2014 version of the the TSI Noise Regulation.</t>
  </si>
  <si>
    <r>
      <t>Pass-By Noise Metric: Measurement Uncertainty is ±</t>
    </r>
    <r>
      <rPr>
        <b/>
        <sz val="11"/>
        <color theme="1"/>
        <rFont val="Calibri"/>
        <family val="2"/>
        <scheme val="minor"/>
      </rPr>
      <t>3 dB</t>
    </r>
  </si>
  <si>
    <r>
      <t>The Common Reference data set was scaled so that the TSI NOI (2014) maximum normalized values, L</t>
    </r>
    <r>
      <rPr>
        <vertAlign val="subscript"/>
        <sz val="11"/>
        <color theme="1"/>
        <rFont val="Calibri"/>
        <family val="2"/>
        <scheme val="minor"/>
      </rPr>
      <t>pAeq,Tp (80 km/hour)</t>
    </r>
    <r>
      <rPr>
        <sz val="11"/>
        <color theme="1"/>
        <rFont val="Calibri"/>
        <family val="2"/>
        <scheme val="minor"/>
      </rPr>
      <t xml:space="preserve"> and L</t>
    </r>
    <r>
      <rPr>
        <vertAlign val="subscript"/>
        <sz val="11"/>
        <color theme="1"/>
        <rFont val="Calibri"/>
        <family val="2"/>
        <scheme val="minor"/>
      </rPr>
      <t>pAeq,Tp (250 km/hr)</t>
    </r>
    <r>
      <rPr>
        <sz val="11"/>
        <color theme="1"/>
        <rFont val="Calibri"/>
        <family val="2"/>
        <scheme val="minor"/>
      </rPr>
      <t xml:space="preserve"> are exactly achieved (values are 100% of maximum allowable)</t>
    </r>
  </si>
  <si>
    <t>For Moving Trains</t>
  </si>
  <si>
    <t>Applicable</t>
  </si>
  <si>
    <t>Train</t>
  </si>
  <si>
    <t>Maximum</t>
  </si>
  <si>
    <t>Rolling</t>
  </si>
  <si>
    <t>Measurement</t>
  </si>
  <si>
    <t>Speed</t>
  </si>
  <si>
    <t>Allowable Sound</t>
  </si>
  <si>
    <t xml:space="preserve">Elevation </t>
  </si>
  <si>
    <t>Distance from</t>
  </si>
  <si>
    <t>Location</t>
  </si>
  <si>
    <t>Reference</t>
  </si>
  <si>
    <t>Stock</t>
  </si>
  <si>
    <t>Method</t>
  </si>
  <si>
    <t>(km/h)</t>
  </si>
  <si>
    <t>Pressure, dB(A)</t>
  </si>
  <si>
    <t>(m)</t>
  </si>
  <si>
    <t>Track Centerline (m)</t>
  </si>
  <si>
    <t>40 CFR Part 201.12</t>
  </si>
  <si>
    <t>Locomotives</t>
  </si>
  <si>
    <r>
      <t>L</t>
    </r>
    <r>
      <rPr>
        <vertAlign val="subscript"/>
        <sz val="10"/>
        <color theme="1"/>
        <rFont val="Calibri"/>
        <family val="2"/>
        <scheme val="minor"/>
      </rPr>
      <t>max</t>
    </r>
    <r>
      <rPr>
        <sz val="10"/>
        <color theme="1"/>
        <rFont val="Calibri"/>
        <family val="2"/>
        <scheme val="minor"/>
      </rPr>
      <t>(fast)</t>
    </r>
  </si>
  <si>
    <t>all</t>
  </si>
  <si>
    <t>1.2 (above top or rail)</t>
  </si>
  <si>
    <t>40 CFR Part 201.13</t>
  </si>
  <si>
    <t>Rail Cars</t>
  </si>
  <si>
    <t>&gt;45</t>
  </si>
  <si>
    <t>TSI Noise 2014</t>
  </si>
  <si>
    <r>
      <t>L</t>
    </r>
    <r>
      <rPr>
        <vertAlign val="subscript"/>
        <sz val="10"/>
        <color theme="1"/>
        <rFont val="Calibri"/>
        <family val="2"/>
        <scheme val="minor"/>
      </rPr>
      <t>pAeq,Tp</t>
    </r>
  </si>
  <si>
    <t>EMUs</t>
  </si>
  <si>
    <t>DMUs</t>
  </si>
  <si>
    <t>GB 12525-90</t>
  </si>
  <si>
    <t>All Rolling Stock</t>
  </si>
  <si>
    <r>
      <t>L</t>
    </r>
    <r>
      <rPr>
        <vertAlign val="subscript"/>
        <sz val="10"/>
        <color theme="1"/>
        <rFont val="Calibri"/>
        <family val="2"/>
        <scheme val="minor"/>
      </rPr>
      <t>d</t>
    </r>
  </si>
  <si>
    <r>
      <t>L</t>
    </r>
    <r>
      <rPr>
        <vertAlign val="subscript"/>
        <sz val="10"/>
        <color theme="1"/>
        <rFont val="Calibri"/>
        <family val="2"/>
        <scheme val="minor"/>
      </rPr>
      <t>n</t>
    </r>
  </si>
  <si>
    <t>Environmental Law 91 of 1993</t>
  </si>
  <si>
    <t>75*</t>
  </si>
  <si>
    <t>1.2 above ground</t>
  </si>
  <si>
    <t>*Sound pressure level at receiver allows use of barriers and other noise path attenuation methods.</t>
  </si>
  <si>
    <t>Regulations Summary</t>
  </si>
  <si>
    <r>
      <t>the time increment for calculating t(j) is 1 hour (3,600 seconds) and L</t>
    </r>
    <r>
      <rPr>
        <vertAlign val="subscript"/>
        <sz val="10"/>
        <color theme="1"/>
        <rFont val="Calibri"/>
        <family val="2"/>
        <scheme val="minor"/>
      </rPr>
      <t>A(j)</t>
    </r>
    <r>
      <rPr>
        <sz val="10"/>
        <color theme="1"/>
        <rFont val="Calibri"/>
        <family val="2"/>
        <scheme val="minor"/>
      </rPr>
      <t xml:space="preserve"> = </t>
    </r>
    <r>
      <rPr>
        <i/>
        <sz val="10"/>
        <color theme="1"/>
        <rFont val="Calibri"/>
        <family val="2"/>
        <scheme val="minor"/>
      </rPr>
      <t>L(j)</t>
    </r>
  </si>
  <si>
    <t>High Speed Rail: Shinkansen</t>
  </si>
  <si>
    <r>
      <t>L</t>
    </r>
    <r>
      <rPr>
        <vertAlign val="subscript"/>
        <sz val="10"/>
        <color theme="1"/>
        <rFont val="Calibri"/>
        <family val="2"/>
        <scheme val="minor"/>
      </rPr>
      <t>eq</t>
    </r>
    <r>
      <rPr>
        <sz val="10"/>
        <color theme="1"/>
        <rFont val="Calibri"/>
        <family val="2"/>
        <scheme val="minor"/>
      </rPr>
      <t>, Zone I</t>
    </r>
  </si>
  <si>
    <r>
      <t>L</t>
    </r>
    <r>
      <rPr>
        <vertAlign val="subscript"/>
        <sz val="10"/>
        <color theme="1"/>
        <rFont val="Calibri"/>
        <family val="2"/>
        <scheme val="minor"/>
      </rPr>
      <t>eq</t>
    </r>
    <r>
      <rPr>
        <sz val="10"/>
        <color theme="1"/>
        <rFont val="Calibri"/>
        <family val="2"/>
        <scheme val="minor"/>
      </rPr>
      <t>, Zone II</t>
    </r>
  </si>
  <si>
    <t>70*</t>
  </si>
  <si>
    <t>Metrics</t>
  </si>
  <si>
    <t>B. Compare train set pass-by data to EU Regulations</t>
  </si>
  <si>
    <t>D. Compare train set pass-by data to Chinese Regulations</t>
  </si>
  <si>
    <r>
      <t>L</t>
    </r>
    <r>
      <rPr>
        <vertAlign val="subscript"/>
        <sz val="11"/>
        <color theme="1"/>
        <rFont val="Calibri"/>
        <family val="2"/>
        <scheme val="minor"/>
      </rPr>
      <t>pAeq,Tp</t>
    </r>
    <r>
      <rPr>
        <sz val="11"/>
        <color theme="1"/>
        <rFont val="Calibri"/>
        <family val="2"/>
        <scheme val="minor"/>
      </rPr>
      <t xml:space="preserve"> is the A-weighted equivalent continuous sound pressure level produced by the train as measured during the pass-by event </t>
    </r>
  </si>
  <si>
    <t>is the time increment between measured data points (0.05 seconds for the data sets included in this program).</t>
  </si>
  <si>
    <r>
      <t>L</t>
    </r>
    <r>
      <rPr>
        <vertAlign val="subscript"/>
        <sz val="11"/>
        <color theme="1"/>
        <rFont val="Calibri"/>
        <family val="2"/>
        <scheme val="minor"/>
      </rPr>
      <t>max</t>
    </r>
    <r>
      <rPr>
        <sz val="11"/>
        <color theme="1"/>
        <rFont val="Calibri"/>
        <family val="2"/>
        <scheme val="minor"/>
      </rPr>
      <t xml:space="preserve"> (fast) can be calculated as the logarithmic average of the recorded Sound Pressure Levels (SPLs) for the 0.125 second time interval containing the highest values</t>
    </r>
  </si>
  <si>
    <r>
      <t xml:space="preserve"> L</t>
    </r>
    <r>
      <rPr>
        <vertAlign val="subscript"/>
        <sz val="10"/>
        <color theme="1"/>
        <rFont val="Calibri"/>
        <family val="2"/>
        <scheme val="minor"/>
      </rPr>
      <t>pAFmax</t>
    </r>
    <r>
      <rPr>
        <sz val="10"/>
        <color theme="1"/>
        <rFont val="Calibri"/>
        <family val="2"/>
        <scheme val="minor"/>
      </rPr>
      <t xml:space="preserve"> is equal to L</t>
    </r>
    <r>
      <rPr>
        <vertAlign val="subscript"/>
        <sz val="10"/>
        <color theme="1"/>
        <rFont val="Calibri"/>
        <family val="2"/>
        <scheme val="minor"/>
      </rPr>
      <t>max</t>
    </r>
    <r>
      <rPr>
        <sz val="10"/>
        <color theme="1"/>
        <rFont val="Calibri"/>
        <family val="2"/>
        <scheme val="minor"/>
      </rPr>
      <t>(fast)</t>
    </r>
  </si>
  <si>
    <t xml:space="preserve">Reference: Ministry of the Environment, Government of Japan, Environmental Quality Standards for Shinkansen </t>
  </si>
  <si>
    <t xml:space="preserve">Supeexpress Railway Noise, Notification No. 91 of 1993, Article 16 of the Basic Enviornmental Law, Environmental </t>
  </si>
  <si>
    <t>Quality Standards, https://www.env.go.jp/en/air/noise/railway.html</t>
  </si>
  <si>
    <t>Receiver’s cumulative noise exposure from all events over a specified time period (1 hour)</t>
  </si>
  <si>
    <t>The time increment for calculating t(j) is 1 hour (3,600 seconds)</t>
  </si>
  <si>
    <t>For areas adjacent to Japan's high speed train lines, the Shinkansen Superexpress Railway Noise regulations apply and supersede the stricter Environmental Quality standards.</t>
  </si>
  <si>
    <r>
      <t>Shinkansen noise limits vary by adjacent land use categories.   Zone I is designated as residential areas and has an L</t>
    </r>
    <r>
      <rPr>
        <vertAlign val="subscript"/>
        <sz val="11"/>
        <color theme="1"/>
        <rFont val="Calibri"/>
        <family val="2"/>
        <scheme val="minor"/>
      </rPr>
      <t>eq</t>
    </r>
    <r>
      <rPr>
        <sz val="11"/>
        <color theme="1"/>
        <rFont val="Calibri"/>
        <family val="2"/>
        <scheme val="minor"/>
      </rPr>
      <t xml:space="preserve"> (hour) limit of 70 dB(A); Zone 2 is designaed as commercial and industrial and has an L</t>
    </r>
    <r>
      <rPr>
        <vertAlign val="subscript"/>
        <sz val="11"/>
        <color theme="1"/>
        <rFont val="Calibri"/>
        <family val="2"/>
        <scheme val="minor"/>
      </rPr>
      <t>eq</t>
    </r>
    <r>
      <rPr>
        <sz val="11"/>
        <color theme="1"/>
        <rFont val="Calibri"/>
        <family val="2"/>
        <scheme val="minor"/>
      </rPr>
      <t xml:space="preserve"> (hour) limit of 75 dB(A</t>
    </r>
  </si>
  <si>
    <t>1.2 (above top of rail)</t>
  </si>
  <si>
    <t>Worksheet Name</t>
  </si>
  <si>
    <t>Contents</t>
  </si>
  <si>
    <t>Program Overview</t>
  </si>
  <si>
    <t>Program Description, Program Capabilities, Legal Terms &amp; Conditions</t>
  </si>
  <si>
    <t>Train Set Data Requirements</t>
  </si>
  <si>
    <t>Descriptions of Train Sets Contained in the Current Library</t>
  </si>
  <si>
    <t>Regulations (US EU China Japan)</t>
  </si>
  <si>
    <t>Common Reference Analysis</t>
  </si>
  <si>
    <t>Data Set Comparisons</t>
  </si>
  <si>
    <t>Common Reference Data Set</t>
  </si>
  <si>
    <t>Common Reference Data Set Output</t>
  </si>
  <si>
    <t>Program Worksheet Index and High Level Flow Chart</t>
  </si>
  <si>
    <t>Worksheet Index</t>
  </si>
  <si>
    <t>Program Flow Chart</t>
  </si>
  <si>
    <r>
      <rPr>
        <b/>
        <sz val="11"/>
        <color theme="1"/>
        <rFont val="Calibri"/>
        <family val="2"/>
        <scheme val="minor"/>
      </rPr>
      <t>L</t>
    </r>
    <r>
      <rPr>
        <b/>
        <vertAlign val="subscript"/>
        <sz val="11"/>
        <color theme="1"/>
        <rFont val="Calibri"/>
        <family val="2"/>
        <scheme val="minor"/>
      </rPr>
      <t>p(maximum)</t>
    </r>
    <r>
      <rPr>
        <b/>
        <sz val="11"/>
        <color theme="1"/>
        <rFont val="Calibri"/>
        <family val="2"/>
        <scheme val="minor"/>
      </rPr>
      <t xml:space="preserve"> =</t>
    </r>
  </si>
  <si>
    <t xml:space="preserve"> maximum recorded passby sound pressure level</t>
  </si>
  <si>
    <r>
      <t>L</t>
    </r>
    <r>
      <rPr>
        <b/>
        <vertAlign val="subscript"/>
        <sz val="11"/>
        <color theme="1"/>
        <rFont val="Calibri"/>
        <family val="2"/>
        <scheme val="minor"/>
      </rPr>
      <t>p(maximum)</t>
    </r>
    <r>
      <rPr>
        <b/>
        <sz val="11"/>
        <color theme="1"/>
        <rFont val="Calibri"/>
        <family val="2"/>
        <scheme val="minor"/>
      </rPr>
      <t xml:space="preserve"> =</t>
    </r>
  </si>
  <si>
    <r>
      <t>L</t>
    </r>
    <r>
      <rPr>
        <b/>
        <vertAlign val="subscript"/>
        <sz val="10"/>
        <color theme="1"/>
        <rFont val="Calibri"/>
        <family val="2"/>
        <scheme val="minor"/>
      </rPr>
      <t>p(maximum)</t>
    </r>
  </si>
  <si>
    <r>
      <t>Impact of microphone distance is determined from the following equation:</t>
    </r>
    <r>
      <rPr>
        <vertAlign val="superscript"/>
        <sz val="11"/>
        <color theme="1"/>
        <rFont val="Calibri"/>
        <family val="2"/>
        <scheme val="minor"/>
      </rPr>
      <t>3</t>
    </r>
    <r>
      <rPr>
        <sz val="11"/>
        <color theme="1"/>
        <rFont val="Calibri"/>
        <family val="2"/>
        <scheme val="minor"/>
      </rPr>
      <t xml:space="preserve">  L</t>
    </r>
    <r>
      <rPr>
        <vertAlign val="subscript"/>
        <sz val="11"/>
        <color theme="1"/>
        <rFont val="Calibri"/>
        <family val="2"/>
        <scheme val="minor"/>
      </rPr>
      <t>d</t>
    </r>
    <r>
      <rPr>
        <sz val="11"/>
        <color theme="1"/>
        <rFont val="Calibri"/>
        <family val="2"/>
        <scheme val="minor"/>
      </rPr>
      <t xml:space="preserve"> = L</t>
    </r>
    <r>
      <rPr>
        <vertAlign val="subscript"/>
        <sz val="11"/>
        <color theme="1"/>
        <rFont val="Calibri"/>
        <family val="2"/>
        <scheme val="minor"/>
      </rPr>
      <t>d0</t>
    </r>
    <r>
      <rPr>
        <sz val="11"/>
        <color theme="1"/>
        <rFont val="Calibri"/>
        <family val="2"/>
        <scheme val="minor"/>
      </rPr>
      <t xml:space="preserve"> - 10*LOG(d/d0), where L</t>
    </r>
    <r>
      <rPr>
        <vertAlign val="subscript"/>
        <sz val="11"/>
        <color theme="1"/>
        <rFont val="Calibri"/>
        <family val="2"/>
        <scheme val="minor"/>
      </rPr>
      <t>d0</t>
    </r>
    <r>
      <rPr>
        <sz val="11"/>
        <color theme="1"/>
        <rFont val="Calibri"/>
        <family val="2"/>
        <scheme val="minor"/>
      </rPr>
      <t xml:space="preserve"> is the equivalent A-weighted constant sound pressure level </t>
    </r>
  </si>
  <si>
    <t>for the microphone at distance d0, and d is the distance for Ld.</t>
  </si>
  <si>
    <r>
      <rPr>
        <vertAlign val="superscript"/>
        <sz val="9"/>
        <color theme="1"/>
        <rFont val="Calibri"/>
        <family val="2"/>
        <scheme val="minor"/>
      </rPr>
      <t>A</t>
    </r>
    <r>
      <rPr>
        <sz val="9"/>
        <color theme="1"/>
        <rFont val="Calibri"/>
        <family val="2"/>
        <scheme val="minor"/>
      </rPr>
      <t xml:space="preserve">L. Lu, X. Hu, Y. Zhang and X. Zhou, "Survey and Analysis of the Beijing-Shanghai High Speed Rail </t>
    </r>
  </si>
  <si>
    <t xml:space="preserve">Noise," in The 21st International Congress on Sound and Vibration, Beijing, China, 2014. </t>
  </si>
  <si>
    <r>
      <rPr>
        <vertAlign val="superscript"/>
        <sz val="9"/>
        <color theme="1"/>
        <rFont val="Calibri"/>
        <family val="2"/>
        <scheme val="minor"/>
      </rPr>
      <t>B</t>
    </r>
    <r>
      <rPr>
        <sz val="9"/>
        <color theme="1"/>
        <rFont val="Calibri"/>
        <family val="2"/>
        <scheme val="minor"/>
      </rPr>
      <t>G. Xiaoan and J. Hua, "Application Research on Descending Vibration and Reducing Noise in</t>
    </r>
  </si>
  <si>
    <t>Research Report, Beijing Shi, China, 2003.</t>
  </si>
  <si>
    <t xml:space="preserve">Accelerating Speed Trains and Express Trains," Chinese Academy of Railway Sciences (CARS) </t>
  </si>
  <si>
    <r>
      <rPr>
        <vertAlign val="superscript"/>
        <sz val="9"/>
        <color theme="1"/>
        <rFont val="Calibri"/>
        <family val="2"/>
        <scheme val="minor"/>
      </rPr>
      <t>C</t>
    </r>
    <r>
      <rPr>
        <sz val="9"/>
        <color theme="1"/>
        <rFont val="Calibri"/>
        <family val="2"/>
        <scheme val="minor"/>
      </rPr>
      <t xml:space="preserve">W. Elliott, "Request for Information Reference FOI13-580, Comparison of Measured Sound </t>
    </r>
  </si>
  <si>
    <t xml:space="preserve">Levels for High Speed Trains as a Functionof Distance from Track," High Speed Rail Two (HS2), </t>
  </si>
  <si>
    <t>London, England, 2013.</t>
  </si>
  <si>
    <r>
      <t xml:space="preserve">Note: </t>
    </r>
    <r>
      <rPr>
        <sz val="11"/>
        <color theme="1"/>
        <rFont val="Calibri"/>
        <family val="2"/>
        <scheme val="minor"/>
      </rPr>
      <t>The simple sound level correction formula</t>
    </r>
  </si>
  <si>
    <t xml:space="preserve">underestimates the measured values.  Therefore, </t>
  </si>
  <si>
    <t xml:space="preserve">ratios based on actual measurements were used to </t>
  </si>
  <si>
    <t>adjust for microphone location (table at right).</t>
  </si>
  <si>
    <r>
      <t xml:space="preserve">An analysis conducted during the current study indicated the integral can be determined numerically, with acceptable accuracy, by employing a midpoint Reimann sum scheme with a mimimum </t>
    </r>
    <r>
      <rPr>
        <sz val="11"/>
        <color theme="1"/>
        <rFont val="Times New Roman"/>
        <family val="1"/>
      </rPr>
      <t/>
    </r>
  </si>
  <si>
    <r>
      <t xml:space="preserve">Δti = 0.05 seconds, and the corresponding Pa(i) analog meter values.  This approach is described in: Hughes-Hallett, Deborah; McCullum, William G.; et al. (2005). </t>
    </r>
    <r>
      <rPr>
        <i/>
        <sz val="11"/>
        <color theme="1"/>
        <rFont val="Calibri"/>
        <family val="2"/>
        <scheme val="minor"/>
      </rPr>
      <t>Calculus (4th ed.)</t>
    </r>
    <r>
      <rPr>
        <sz val="11"/>
        <color theme="1"/>
        <rFont val="Calibri"/>
        <family val="2"/>
        <scheme val="minor"/>
      </rPr>
      <t>, Wiley. p. 252.</t>
    </r>
  </si>
  <si>
    <r>
      <rPr>
        <vertAlign val="superscript"/>
        <sz val="11"/>
        <color theme="1"/>
        <rFont val="Calibri"/>
        <family val="2"/>
        <scheme val="minor"/>
      </rPr>
      <t>4</t>
    </r>
    <r>
      <rPr>
        <sz val="11"/>
        <color theme="1"/>
        <rFont val="Calibri"/>
        <family val="2"/>
        <scheme val="minor"/>
      </rPr>
      <t xml:space="preserve">K. Brinkmann, "Treatment of Measurement Uncertainties in International and European Standards on Acoustics," </t>
    </r>
    <r>
      <rPr>
        <i/>
        <sz val="11"/>
        <color theme="1"/>
        <rFont val="Calibri"/>
        <family val="2"/>
        <scheme val="minor"/>
      </rPr>
      <t>Acoustique &amp; Techniques</t>
    </r>
    <r>
      <rPr>
        <sz val="11"/>
        <color theme="1"/>
        <rFont val="Calibri"/>
        <family val="2"/>
        <scheme val="minor"/>
      </rPr>
      <t xml:space="preserve"> No. 40, in Uncertainty - Noise, </t>
    </r>
  </si>
  <si>
    <t>Le Mans, France, 2005, https://www.bruit.fr/revues/78_11096.PDF.</t>
  </si>
  <si>
    <r>
      <t>1</t>
    </r>
    <r>
      <rPr>
        <sz val="11"/>
        <color theme="1"/>
        <rFont val="Calibri"/>
        <family val="2"/>
        <scheme val="minor"/>
      </rPr>
      <t xml:space="preserve">International Electrotechnical Commission, "IEC 60942:2003, Electroaccoustics - Sound Calibrators," 2003, https://webstore.iec.ch/publication/3954. </t>
    </r>
  </si>
  <si>
    <t xml:space="preserve">Train Speed: </t>
  </si>
  <si>
    <t>Formula</t>
  </si>
  <si>
    <t>Comparison of EU and Japan Regulations for Japan Shinkansen High Speed Rail: Zone II, Commercial and Industrial Areas</t>
  </si>
  <si>
    <t>Data Point Number for Start of Pass-by Event (time at which train nose passes microphone):</t>
  </si>
  <si>
    <t xml:space="preserve"> maximum recorded pass-by sound pressure level</t>
  </si>
  <si>
    <t>Comparisons of US, EU, China, and Japan High Speed Noise Regulations to a Common Reference.  The common reference train pass-by noise data set is based on a scaled sound pressure level graph that exactly meets the EU TSI Normalized Equivalent 80 km/hr and 250 km/hr normalized limits.  The corresponding US, China, and Japan limits are then calculated using the same data set, thus allowing direct comparisons.</t>
  </si>
  <si>
    <t>Train set information and pass-by sound pressure measurement data for the China CRH3 Series Trains, Microphone Position 1</t>
  </si>
  <si>
    <t>Train set information and pass-by sound pressure measurement data for the Korean HEMU-430X</t>
  </si>
  <si>
    <t>Descriptions of instrumentation and measurement procedures regulations and standards, note on measurement accuracy and uncertainty</t>
  </si>
  <si>
    <t>Analysis of the noise metrics for the common reference data set</t>
  </si>
  <si>
    <r>
      <t>L</t>
    </r>
    <r>
      <rPr>
        <b/>
        <vertAlign val="subscript"/>
        <sz val="11"/>
        <color theme="1"/>
        <rFont val="Calibri"/>
        <family val="2"/>
        <scheme val="minor"/>
      </rPr>
      <t>pAeq,Tp</t>
    </r>
    <r>
      <rPr>
        <b/>
        <sz val="11"/>
        <color theme="1"/>
        <rFont val="Calibri"/>
        <family val="2"/>
        <scheme val="minor"/>
      </rPr>
      <t xml:space="preserve"> at 400 km/h dB(A)</t>
    </r>
  </si>
  <si>
    <r>
      <t>L</t>
    </r>
    <r>
      <rPr>
        <b/>
        <vertAlign val="subscript"/>
        <sz val="11"/>
        <color theme="1"/>
        <rFont val="Calibri"/>
        <family val="2"/>
        <scheme val="minor"/>
      </rPr>
      <t>pAeq,Tp</t>
    </r>
    <r>
      <rPr>
        <b/>
        <sz val="11"/>
        <color theme="1"/>
        <rFont val="Calibri"/>
        <family val="2"/>
        <scheme val="minor"/>
      </rPr>
      <t xml:space="preserve"> at 400 km/h (Pa)</t>
    </r>
  </si>
  <si>
    <r>
      <t>L</t>
    </r>
    <r>
      <rPr>
        <b/>
        <vertAlign val="subscript"/>
        <sz val="10"/>
        <color theme="1"/>
        <rFont val="Calibri"/>
        <family val="2"/>
        <scheme val="minor"/>
      </rPr>
      <t xml:space="preserve">pAeq,Tp </t>
    </r>
    <r>
      <rPr>
        <b/>
        <sz val="10"/>
        <color theme="1"/>
        <rFont val="Calibri"/>
        <family val="2"/>
        <scheme val="minor"/>
      </rPr>
      <t>dB(A)</t>
    </r>
  </si>
  <si>
    <r>
      <t>Test Procedure:  Measurements to be made for pass-by events include: L</t>
    </r>
    <r>
      <rPr>
        <vertAlign val="subscript"/>
        <sz val="11"/>
        <color theme="1"/>
        <rFont val="Calibri"/>
        <family val="2"/>
        <scheme val="minor"/>
      </rPr>
      <t>pAeq,Tp</t>
    </r>
    <r>
      <rPr>
        <sz val="11"/>
        <color theme="1"/>
        <rFont val="Calibri"/>
        <family val="2"/>
        <scheme val="minor"/>
      </rPr>
      <t xml:space="preserve"> and, if frequency analysis is included, at lease in one</t>
    </r>
  </si>
  <si>
    <t>Track roughness can impact pass-by sound pressure levels (SPLs) by up to 9 dB(A), depending upon train speed, microphone distance, and degree of roughness.  It is thus important to conduct</t>
  </si>
  <si>
    <t>pass-by noise measurements under acceptable roughness conditions.  The CONTraST program assumes the pass-by noise data sets were obtained at sites with acceptable track roughness</t>
  </si>
  <si>
    <r>
      <t xml:space="preserve">The 2008 version of the EU TSI Noise Regulation included an uncertainty level of </t>
    </r>
    <r>
      <rPr>
        <sz val="11"/>
        <color theme="1"/>
        <rFont val="Arial"/>
        <family val="2"/>
      </rPr>
      <t>±</t>
    </r>
    <r>
      <rPr>
        <sz val="9.9"/>
        <color theme="1"/>
        <rFont val="Calibri"/>
        <family val="2"/>
      </rPr>
      <t>1 dB(A) relative to maximum pass-by sound pressure measurement limits.  This allowance factor was</t>
    </r>
  </si>
  <si>
    <t>Train Set Pass-By Noise Library</t>
  </si>
  <si>
    <r>
      <t>is the pass-by time interval = time when trail tail passes microphone minus time when train nose passes microphone = T</t>
    </r>
    <r>
      <rPr>
        <vertAlign val="subscript"/>
        <sz val="11"/>
        <color theme="1"/>
        <rFont val="Calibri"/>
        <family val="2"/>
        <scheme val="minor"/>
      </rPr>
      <t>2</t>
    </r>
    <r>
      <rPr>
        <sz val="11"/>
        <color theme="1"/>
        <rFont val="Calibri"/>
        <family val="2"/>
        <scheme val="minor"/>
      </rPr>
      <t xml:space="preserve"> - T</t>
    </r>
    <r>
      <rPr>
        <vertAlign val="subscript"/>
        <sz val="11"/>
        <color theme="1"/>
        <rFont val="Calibri"/>
        <family val="2"/>
        <scheme val="minor"/>
      </rPr>
      <t>1</t>
    </r>
  </si>
  <si>
    <t>is the A-weighted instantaneous sound pressure in Pa at pass-by time increment i</t>
  </si>
  <si>
    <r>
      <t>L</t>
    </r>
    <r>
      <rPr>
        <vertAlign val="subscript"/>
        <sz val="10"/>
        <color theme="1"/>
        <rFont val="Calibri"/>
        <family val="2"/>
        <scheme val="minor"/>
      </rPr>
      <t>d</t>
    </r>
    <r>
      <rPr>
        <sz val="10"/>
        <color theme="1"/>
        <rFont val="Calibri"/>
        <family val="2"/>
        <scheme val="minor"/>
      </rPr>
      <t xml:space="preserve"> (the A-weighted equivalent sound level measured during the 1-hour time period), dB(A)</t>
    </r>
  </si>
  <si>
    <t>Japan 250 km/hr, 60 Pass-bys</t>
  </si>
  <si>
    <t>Time of Pass-by Event</t>
  </si>
  <si>
    <t>t(j): Ratio of Pass-by Time to 16-Hour Day Period</t>
  </si>
  <si>
    <t>Comparison of EU and Japan Regulations for Japan Shinkansen High Speed Rail: Zone I, Residential Areas</t>
  </si>
  <si>
    <t xml:space="preserve">Japan 80 km/hr, 40 Pass-bys </t>
  </si>
  <si>
    <t xml:space="preserve">Japan 80 km/hr, 60 Pass-bys </t>
  </si>
  <si>
    <t>Japan 300 km/hr, 40 Pass-bys</t>
  </si>
  <si>
    <t>Japan 300 km/hr, 60 Pass-bys</t>
  </si>
  <si>
    <t>Japan 350 km/hr, 40 Pass-bys</t>
  </si>
  <si>
    <t>Japan 350 km/hr, 60 Pass-bys</t>
  </si>
  <si>
    <t>Japan 250 km/hr, 40 Pass-bys</t>
  </si>
  <si>
    <t>The Common Reference is based on scaled pass-by data  for the Thalys PBKA train set (see Common Reference Data Set worksheets).</t>
  </si>
  <si>
    <t>The corresponding pass-by metrics for the other regulations (US, China, Japan) are then calculated using this Common Reference dat set.  Comparions are made based on percentages of</t>
  </si>
  <si>
    <t>China 250 km/hr, 60 Pass-bys</t>
  </si>
  <si>
    <t xml:space="preserve">China 80 km/hr, 40 Pass-bys </t>
  </si>
  <si>
    <t xml:space="preserve">China 80 km/hr, 60 Pass-bys </t>
  </si>
  <si>
    <t>China 300 km/hr, 40 Pass-bys</t>
  </si>
  <si>
    <t>China 300 km/hr, 60 Pass-bys</t>
  </si>
  <si>
    <t>China 350 km/hr, 40 Pass-bys</t>
  </si>
  <si>
    <t>China 350 km/hr, 60 Pass-bys</t>
  </si>
  <si>
    <t>maximum allowable pass-by values for each noise regulation (EU, US, China, Japan).</t>
  </si>
  <si>
    <t>pass-by noise sound pressure levels that correspond to the maximum</t>
  </si>
  <si>
    <r>
      <t>US Pass-by Noise Metric = L</t>
    </r>
    <r>
      <rPr>
        <vertAlign val="subscript"/>
        <sz val="10"/>
        <color theme="1"/>
        <rFont val="Calibri"/>
        <family val="2"/>
        <scheme val="minor"/>
      </rPr>
      <t>pAFmax</t>
    </r>
    <r>
      <rPr>
        <sz val="10"/>
        <color theme="1"/>
        <rFont val="Calibri"/>
        <family val="2"/>
        <scheme val="minor"/>
      </rPr>
      <t xml:space="preserve"> = L</t>
    </r>
    <r>
      <rPr>
        <vertAlign val="subscript"/>
        <sz val="10"/>
        <color theme="1"/>
        <rFont val="Calibri"/>
        <family val="2"/>
        <scheme val="minor"/>
      </rPr>
      <t>max(fast)</t>
    </r>
  </si>
  <si>
    <t>Time of Pass-By Event</t>
  </si>
  <si>
    <t>t(j): Ratio of Pass-By Time to 8-Hour Night Period</t>
  </si>
  <si>
    <r>
      <t>L</t>
    </r>
    <r>
      <rPr>
        <vertAlign val="subscript"/>
        <sz val="10"/>
        <color theme="1"/>
        <rFont val="Calibri"/>
        <family val="2"/>
        <scheme val="minor"/>
      </rPr>
      <t>pAEQ,pass-by</t>
    </r>
    <r>
      <rPr>
        <sz val="10"/>
        <color theme="1"/>
        <rFont val="Calibri"/>
        <family val="2"/>
        <scheme val="minor"/>
      </rPr>
      <t xml:space="preserve"> (microphone position 4)</t>
    </r>
  </si>
  <si>
    <t>China 250 km/hr, 40 Pass-bys</t>
  </si>
  <si>
    <r>
      <t>L</t>
    </r>
    <r>
      <rPr>
        <vertAlign val="subscript"/>
        <sz val="10"/>
        <color theme="1"/>
        <rFont val="Calibri"/>
        <family val="2"/>
        <scheme val="minor"/>
      </rPr>
      <t>pAEQ,pass-by</t>
    </r>
    <r>
      <rPr>
        <sz val="10"/>
        <color theme="1"/>
        <rFont val="Calibri"/>
        <family val="2"/>
        <scheme val="minor"/>
      </rPr>
      <t xml:space="preserve"> (microphone position 3)</t>
    </r>
  </si>
  <si>
    <t>For the measurements in this study, there is a 95% confidence that the calculated pass-by noise levels are within ±3 dB of the true values.</t>
  </si>
  <si>
    <r>
      <t>L</t>
    </r>
    <r>
      <rPr>
        <b/>
        <vertAlign val="subscript"/>
        <sz val="11"/>
        <color theme="1"/>
        <rFont val="Calibri"/>
        <family val="2"/>
        <scheme val="minor"/>
      </rPr>
      <t>pAeq,pass-by</t>
    </r>
  </si>
  <si>
    <r>
      <t>Example, the Thalys PBKA traveling at a speed of 296 km/hr, has a sound pressure level (SPL), L</t>
    </r>
    <r>
      <rPr>
        <vertAlign val="subscript"/>
        <sz val="10"/>
        <color theme="1"/>
        <rFont val="Calibri"/>
        <family val="2"/>
        <scheme val="minor"/>
      </rPr>
      <t>pAeq (pass-by)</t>
    </r>
    <r>
      <rPr>
        <sz val="10"/>
        <color theme="1"/>
        <rFont val="Calibri"/>
        <family val="2"/>
        <scheme val="minor"/>
      </rPr>
      <t xml:space="preserve"> = 84.7 dB(A) for microphone position 4 (30 m from track centerline, 1.2 m above top of rail). </t>
    </r>
  </si>
  <si>
    <t>Summary of Pass-by Data Sets Currently in Library</t>
  </si>
  <si>
    <t>The pass-by time is 4.2 seconds.  If the pass-by event occurs during the 8 hour night time period, the fraction of time for each pass-by event is equal to 4.2 seconds divided by 8 hours (28,800 seconds)</t>
  </si>
  <si>
    <r>
      <t xml:space="preserve">  and L</t>
    </r>
    <r>
      <rPr>
        <vertAlign val="subscript"/>
        <sz val="10"/>
        <color theme="1"/>
        <rFont val="Calibri"/>
        <family val="2"/>
        <scheme val="minor"/>
      </rPr>
      <t>n</t>
    </r>
    <r>
      <rPr>
        <sz val="10"/>
        <color theme="1"/>
        <rFont val="Calibri"/>
        <family val="2"/>
        <scheme val="minor"/>
      </rPr>
      <t xml:space="preserve"> for two pass-by events during the 8 hour time period would be = 10LOG10(2*t(j)*10^(84.7/10)) which is equal to:</t>
    </r>
  </si>
  <si>
    <t>t(j): Ratio of Pass-by Time to 16-Hour Night Period</t>
  </si>
  <si>
    <r>
      <t>L</t>
    </r>
    <r>
      <rPr>
        <vertAlign val="subscript"/>
        <sz val="10"/>
        <color theme="1"/>
        <rFont val="Calibri"/>
        <family val="2"/>
        <scheme val="minor"/>
      </rPr>
      <t>eq,pass-by</t>
    </r>
    <r>
      <rPr>
        <sz val="10"/>
        <color theme="1"/>
        <rFont val="Calibri"/>
        <family val="2"/>
        <scheme val="minor"/>
      </rPr>
      <t xml:space="preserve"> (microphone position 3)</t>
    </r>
  </si>
  <si>
    <r>
      <t>If we assume all 20 consecutive pass-by measurements are identical, for purposes of comparing noise metrics, we find L</t>
    </r>
    <r>
      <rPr>
        <vertAlign val="subscript"/>
        <sz val="11"/>
        <color theme="1"/>
        <rFont val="Calibri"/>
        <family val="2"/>
        <scheme val="minor"/>
      </rPr>
      <t>Amax</t>
    </r>
    <r>
      <rPr>
        <sz val="11"/>
        <color theme="1"/>
        <rFont val="Calibri"/>
        <family val="2"/>
        <scheme val="minor"/>
      </rPr>
      <t xml:space="preserve"> = L</t>
    </r>
    <r>
      <rPr>
        <vertAlign val="subscript"/>
        <sz val="11"/>
        <color theme="1"/>
        <rFont val="Calibri"/>
        <family val="2"/>
        <scheme val="minor"/>
      </rPr>
      <t>pASmax</t>
    </r>
    <r>
      <rPr>
        <sz val="11"/>
        <color theme="1"/>
        <rFont val="Calibri"/>
        <family val="2"/>
        <scheme val="minor"/>
      </rPr>
      <t xml:space="preserve"> as shown below:</t>
    </r>
  </si>
  <si>
    <t>Per U.S. Interstate Rail Carriers Noise Regulations, 40 CFR Part 201.21 and Part 201.22, US EPA Measurement Criteria</t>
  </si>
  <si>
    <t>Data Point Number for End of Pass-by Event (time at which train tail passes microphone):</t>
  </si>
  <si>
    <r>
      <t xml:space="preserve"> L</t>
    </r>
    <r>
      <rPr>
        <vertAlign val="subscript"/>
        <sz val="10"/>
        <color theme="1"/>
        <rFont val="Calibri"/>
        <family val="2"/>
        <scheme val="minor"/>
      </rPr>
      <t xml:space="preserve">pAeq,pass-by </t>
    </r>
    <r>
      <rPr>
        <sz val="10"/>
        <color theme="1"/>
        <rFont val="Calibri"/>
        <family val="2"/>
        <scheme val="minor"/>
      </rPr>
      <t>is the A-weighted equivalent continuous sound pressure level produced during the entire pass-by event, including approach, T</t>
    </r>
    <r>
      <rPr>
        <vertAlign val="subscript"/>
        <sz val="10"/>
        <color theme="1"/>
        <rFont val="Calibri"/>
        <family val="2"/>
        <scheme val="minor"/>
      </rPr>
      <t>p</t>
    </r>
    <r>
      <rPr>
        <sz val="10"/>
        <color theme="1"/>
        <rFont val="Calibri"/>
        <family val="2"/>
        <scheme val="minor"/>
      </rPr>
      <t>, and departure (used for L</t>
    </r>
    <r>
      <rPr>
        <vertAlign val="subscript"/>
        <sz val="10"/>
        <color theme="1"/>
        <rFont val="Calibri"/>
        <family val="2"/>
        <scheme val="minor"/>
      </rPr>
      <t>d</t>
    </r>
    <r>
      <rPr>
        <sz val="10"/>
        <color theme="1"/>
        <rFont val="Calibri"/>
        <family val="2"/>
        <scheme val="minor"/>
      </rPr>
      <t>, L</t>
    </r>
    <r>
      <rPr>
        <vertAlign val="subscript"/>
        <sz val="10"/>
        <color theme="1"/>
        <rFont val="Calibri"/>
        <family val="2"/>
        <scheme val="minor"/>
      </rPr>
      <t>n</t>
    </r>
    <r>
      <rPr>
        <sz val="10"/>
        <color theme="1"/>
        <rFont val="Calibri"/>
        <family val="2"/>
        <scheme val="minor"/>
      </rPr>
      <t>, etc.)</t>
    </r>
  </si>
  <si>
    <r>
      <t>L</t>
    </r>
    <r>
      <rPr>
        <vertAlign val="subscript"/>
        <sz val="11"/>
        <color theme="1"/>
        <rFont val="Calibri"/>
        <family val="2"/>
        <scheme val="minor"/>
      </rPr>
      <t>pAeq,pass-by</t>
    </r>
    <r>
      <rPr>
        <sz val="11"/>
        <color theme="1"/>
        <rFont val="Calibri"/>
        <family val="2"/>
        <scheme val="minor"/>
      </rPr>
      <t xml:space="preserve"> =</t>
    </r>
  </si>
  <si>
    <r>
      <t>L</t>
    </r>
    <r>
      <rPr>
        <b/>
        <vertAlign val="subscript"/>
        <sz val="11"/>
        <color theme="1"/>
        <rFont val="Calibri"/>
        <family val="2"/>
        <scheme val="minor"/>
      </rPr>
      <t>pAeq,pass-by</t>
    </r>
    <r>
      <rPr>
        <b/>
        <sz val="11"/>
        <color theme="1"/>
        <rFont val="Calibri"/>
        <family val="2"/>
        <scheme val="minor"/>
      </rPr>
      <t xml:space="preserve"> =</t>
    </r>
  </si>
  <si>
    <r>
      <t>Ricardo evaluated several methods for determining the impact of train speed on pass-by noise levels.  The approach developed by Gautier, Poisson &amp; Letourneaux</t>
    </r>
    <r>
      <rPr>
        <vertAlign val="superscript"/>
        <sz val="11"/>
        <color theme="1"/>
        <rFont val="Calibri"/>
        <family val="2"/>
        <scheme val="minor"/>
      </rPr>
      <t>5</t>
    </r>
    <r>
      <rPr>
        <sz val="11"/>
        <color theme="1"/>
        <rFont val="Calibri"/>
        <family val="2"/>
        <scheme val="minor"/>
      </rPr>
      <t xml:space="preserve"> provided the highest level of correlation with measured data is the basis for the calculations presented below.</t>
    </r>
  </si>
  <si>
    <t>Ricardo calculated the K factor values for 12 pass-by noise data sets.</t>
  </si>
  <si>
    <t>continuing through the pass-by event until the meter reading is</t>
  </si>
  <si>
    <t>Summary of Pass-by Noise Metrics for Each Microphone Position</t>
  </si>
  <si>
    <t>Calculate Train Pass-by Parameters</t>
  </si>
  <si>
    <r>
      <t>L</t>
    </r>
    <r>
      <rPr>
        <vertAlign val="subscript"/>
        <sz val="11"/>
        <color theme="1"/>
        <rFont val="Calibri"/>
        <family val="2"/>
        <scheme val="minor"/>
      </rPr>
      <t>pAeq,Tp</t>
    </r>
    <r>
      <rPr>
        <sz val="11"/>
        <color theme="1"/>
        <rFont val="Calibri"/>
        <family val="2"/>
        <scheme val="minor"/>
      </rPr>
      <t xml:space="preserve"> can be calculated from the pass-by data using the following relationship:</t>
    </r>
  </si>
  <si>
    <r>
      <t>L</t>
    </r>
    <r>
      <rPr>
        <b/>
        <vertAlign val="subscript"/>
        <sz val="10"/>
        <color theme="1"/>
        <rFont val="Calibri"/>
        <family val="2"/>
        <scheme val="minor"/>
      </rPr>
      <t>pAeq,Tp</t>
    </r>
    <r>
      <rPr>
        <b/>
        <sz val="10"/>
        <color theme="1"/>
        <rFont val="Calibri"/>
        <family val="2"/>
        <scheme val="minor"/>
      </rPr>
      <t xml:space="preserve"> at 296 km/h (Pa)</t>
    </r>
  </si>
  <si>
    <r>
      <t>L</t>
    </r>
    <r>
      <rPr>
        <b/>
        <vertAlign val="subscript"/>
        <sz val="10"/>
        <color theme="1"/>
        <rFont val="Calibri"/>
        <family val="2"/>
        <scheme val="minor"/>
      </rPr>
      <t>pAeq,Tp</t>
    </r>
    <r>
      <rPr>
        <b/>
        <sz val="10"/>
        <color theme="1"/>
        <rFont val="Calibri"/>
        <family val="2"/>
        <scheme val="minor"/>
      </rPr>
      <t xml:space="preserve"> at 296 km/h dB(A)</t>
    </r>
  </si>
  <si>
    <t>Data Point Number for Start of Pass-by Event (time pass-by SPLs begin being recorded):</t>
  </si>
  <si>
    <t>Data Point Number for End of Pass-by Event (time pass-by SPLs end being recorded):</t>
  </si>
  <si>
    <r>
      <t>L</t>
    </r>
    <r>
      <rPr>
        <b/>
        <vertAlign val="subscript"/>
        <sz val="10"/>
        <color theme="1"/>
        <rFont val="Calibri"/>
        <family val="2"/>
        <scheme val="minor"/>
      </rPr>
      <t>pAeq,Tp</t>
    </r>
    <r>
      <rPr>
        <b/>
        <sz val="10"/>
        <color theme="1"/>
        <rFont val="Calibri"/>
        <family val="2"/>
        <scheme val="minor"/>
      </rPr>
      <t xml:space="preserve"> at 271 km/h dB(A)</t>
    </r>
  </si>
  <si>
    <r>
      <t>L</t>
    </r>
    <r>
      <rPr>
        <b/>
        <vertAlign val="subscript"/>
        <sz val="10"/>
        <color theme="1"/>
        <rFont val="Calibri"/>
        <family val="2"/>
        <scheme val="minor"/>
      </rPr>
      <t>pAeq,Tp</t>
    </r>
    <r>
      <rPr>
        <b/>
        <sz val="10"/>
        <color theme="1"/>
        <rFont val="Calibri"/>
        <family val="2"/>
        <scheme val="minor"/>
      </rPr>
      <t xml:space="preserve"> at 271 km/h (Pa)</t>
    </r>
  </si>
  <si>
    <t>Sound Pressure Variations for Microphone Positions and</t>
  </si>
  <si>
    <t>Train Speed from Reference 5</t>
  </si>
  <si>
    <r>
      <t>Time for PassBy (T</t>
    </r>
    <r>
      <rPr>
        <vertAlign val="subscript"/>
        <sz val="11"/>
        <color theme="1"/>
        <rFont val="Calibri"/>
        <family val="2"/>
        <scheme val="minor"/>
      </rPr>
      <t>p</t>
    </r>
    <r>
      <rPr>
        <sz val="11"/>
        <color theme="1"/>
        <rFont val="Calibri"/>
        <family val="2"/>
        <scheme val="minor"/>
      </rPr>
      <t>)</t>
    </r>
  </si>
  <si>
    <t xml:space="preserve">by the train as measured during the passby event </t>
  </si>
  <si>
    <t>at passby time</t>
  </si>
  <si>
    <r>
      <t xml:space="preserve"> L</t>
    </r>
    <r>
      <rPr>
        <vertAlign val="subscript"/>
        <sz val="10"/>
        <color theme="1"/>
        <rFont val="Calibri"/>
        <family val="2"/>
        <scheme val="minor"/>
      </rPr>
      <t xml:space="preserve">pAeq,passby </t>
    </r>
    <r>
      <rPr>
        <sz val="10"/>
        <color theme="1"/>
        <rFont val="Calibri"/>
        <family val="2"/>
        <scheme val="minor"/>
      </rPr>
      <t>is the A-weighted equivalent continuous sound pressure level produced during the entire passby event, including approach, T</t>
    </r>
    <r>
      <rPr>
        <vertAlign val="subscript"/>
        <sz val="10"/>
        <color theme="1"/>
        <rFont val="Calibri"/>
        <family val="2"/>
        <scheme val="minor"/>
      </rPr>
      <t>p</t>
    </r>
    <r>
      <rPr>
        <sz val="10"/>
        <color theme="1"/>
        <rFont val="Calibri"/>
        <family val="2"/>
        <scheme val="minor"/>
      </rPr>
      <t>, and departure (used for L</t>
    </r>
    <r>
      <rPr>
        <vertAlign val="subscript"/>
        <sz val="10"/>
        <color theme="1"/>
        <rFont val="Calibri"/>
        <family val="2"/>
        <scheme val="minor"/>
      </rPr>
      <t>d</t>
    </r>
    <r>
      <rPr>
        <sz val="10"/>
        <color theme="1"/>
        <rFont val="Calibri"/>
        <family val="2"/>
        <scheme val="minor"/>
      </rPr>
      <t>, L</t>
    </r>
    <r>
      <rPr>
        <vertAlign val="subscript"/>
        <sz val="10"/>
        <color theme="1"/>
        <rFont val="Calibri"/>
        <family val="2"/>
        <scheme val="minor"/>
      </rPr>
      <t>n</t>
    </r>
    <r>
      <rPr>
        <sz val="10"/>
        <color theme="1"/>
        <rFont val="Calibri"/>
        <family val="2"/>
        <scheme val="minor"/>
      </rPr>
      <t>, etc.)</t>
    </r>
  </si>
  <si>
    <t>The calculation includes all of the passby data points.</t>
  </si>
  <si>
    <r>
      <t xml:space="preserve">Time Increment for Passby Data, </t>
    </r>
    <r>
      <rPr>
        <sz val="11"/>
        <color theme="1"/>
        <rFont val="Arial"/>
        <family val="2"/>
      </rPr>
      <t>Δ</t>
    </r>
    <r>
      <rPr>
        <sz val="11"/>
        <color theme="1"/>
        <rFont val="Calibri"/>
        <family val="2"/>
      </rPr>
      <t>T:</t>
    </r>
  </si>
  <si>
    <t>Number of Passby Data Points:</t>
  </si>
  <si>
    <t>Passby Noise Calculations</t>
  </si>
  <si>
    <r>
      <t>Time for Passby (T</t>
    </r>
    <r>
      <rPr>
        <vertAlign val="subscript"/>
        <sz val="11"/>
        <color theme="1"/>
        <rFont val="Calibri"/>
        <family val="2"/>
        <scheme val="minor"/>
      </rPr>
      <t>p</t>
    </r>
    <r>
      <rPr>
        <sz val="11"/>
        <color theme="1"/>
        <rFont val="Calibri"/>
        <family val="2"/>
        <scheme val="minor"/>
      </rPr>
      <t>)</t>
    </r>
  </si>
  <si>
    <t xml:space="preserve">Sound Pressure Variations for Microphone Positions and </t>
  </si>
  <si>
    <t>where array is of the form A10:A15.  In the current case, the array is Passby Data Set 1, C:48:C68</t>
  </si>
  <si>
    <r>
      <t>Comparisons of L</t>
    </r>
    <r>
      <rPr>
        <b/>
        <vertAlign val="subscript"/>
        <sz val="11"/>
        <color theme="1"/>
        <rFont val="Calibri"/>
        <family val="2"/>
        <scheme val="minor"/>
      </rPr>
      <t>Amax (slow)</t>
    </r>
    <r>
      <rPr>
        <b/>
        <sz val="11"/>
        <color theme="1"/>
        <rFont val="Calibri"/>
        <family val="2"/>
        <scheme val="minor"/>
      </rPr>
      <t xml:space="preserve"> (which is equal to L</t>
    </r>
    <r>
      <rPr>
        <b/>
        <vertAlign val="subscript"/>
        <sz val="11"/>
        <color theme="1"/>
        <rFont val="Calibri"/>
        <family val="2"/>
        <scheme val="minor"/>
      </rPr>
      <t>pASmax</t>
    </r>
    <r>
      <rPr>
        <b/>
        <sz val="11"/>
        <color theme="1"/>
        <rFont val="Calibri"/>
        <family val="2"/>
        <scheme val="minor"/>
      </rPr>
      <t xml:space="preserve"> ) for trainsets relative to Japan regulations for 20 passby events.</t>
    </r>
  </si>
  <si>
    <r>
      <t>Another metric employed in Japan to describe the noise from train passages is L</t>
    </r>
    <r>
      <rPr>
        <vertAlign val="subscript"/>
        <sz val="11"/>
        <color theme="1"/>
        <rFont val="Calibri"/>
        <family val="2"/>
        <scheme val="minor"/>
      </rPr>
      <t>Amax</t>
    </r>
    <r>
      <rPr>
        <sz val="11"/>
        <color theme="1"/>
        <rFont val="Calibri"/>
        <family val="2"/>
        <scheme val="minor"/>
      </rPr>
      <t xml:space="preserve">.  </t>
    </r>
  </si>
  <si>
    <r>
      <t>L</t>
    </r>
    <r>
      <rPr>
        <vertAlign val="subscript"/>
        <sz val="11"/>
        <color theme="1"/>
        <rFont val="Calibri"/>
        <family val="2"/>
        <scheme val="minor"/>
      </rPr>
      <t>Amax</t>
    </r>
    <r>
      <rPr>
        <sz val="11"/>
        <color theme="1"/>
        <rFont val="Calibri"/>
        <family val="2"/>
        <scheme val="minor"/>
      </rPr>
      <t xml:space="preserve"> is defined as the power- or energy-average of the "slow" maximum level (L</t>
    </r>
    <r>
      <rPr>
        <vertAlign val="subscript"/>
        <sz val="11"/>
        <color theme="1"/>
        <rFont val="Calibri"/>
        <family val="2"/>
        <scheme val="minor"/>
      </rPr>
      <t>pASmax</t>
    </r>
    <r>
      <rPr>
        <sz val="11"/>
        <color theme="1"/>
        <rFont val="Calibri"/>
        <family val="2"/>
        <scheme val="minor"/>
      </rPr>
      <t>) of 20 consecutive train passbys, as expressed in the following equation:</t>
    </r>
    <r>
      <rPr>
        <vertAlign val="subscript"/>
        <sz val="11"/>
        <color theme="1"/>
        <rFont val="Calibri"/>
        <family val="2"/>
        <scheme val="minor"/>
      </rPr>
      <t xml:space="preserve"> </t>
    </r>
  </si>
  <si>
    <r>
      <t>t(j): Ratio of Passby Time to 1-Hour L</t>
    </r>
    <r>
      <rPr>
        <vertAlign val="subscript"/>
        <sz val="10"/>
        <color theme="1"/>
        <rFont val="Calibri"/>
        <family val="2"/>
        <scheme val="minor"/>
      </rPr>
      <t>eq</t>
    </r>
    <r>
      <rPr>
        <sz val="10"/>
        <color theme="1"/>
        <rFont val="Calibri"/>
        <family val="2"/>
        <scheme val="minor"/>
      </rPr>
      <t xml:space="preserve"> Time Period</t>
    </r>
  </si>
  <si>
    <t>The calculation includes all of the passby data points from the time recording of the microphone SPL signals starts</t>
  </si>
  <si>
    <t xml:space="preserve">A-weighted equivalent continuous sound pressure level produced by the train as measured during the passby event </t>
  </si>
  <si>
    <t>Japan 300 km/hr, 40 Passbys</t>
  </si>
  <si>
    <t>Japan 300 km/hr, 60 Passbys</t>
  </si>
  <si>
    <t>Japan 250 km/hr, 40 Passbys</t>
  </si>
  <si>
    <t xml:space="preserve">Japan 80 km/hr, 40 Passbys </t>
  </si>
  <si>
    <t xml:space="preserve">Japan 80 km/hr, 60 Passbys </t>
  </si>
  <si>
    <t>Japan 250 km/hr, 60 Passbys</t>
  </si>
  <si>
    <t>Japan 350 km/hr, 40 Passbys</t>
  </si>
  <si>
    <t>Japan 350 km/hr, 60 Passbys</t>
  </si>
  <si>
    <t>t(j): Ratio of Passby Time to 16-Hour Day Period</t>
  </si>
  <si>
    <t>Time of Passby Event</t>
  </si>
  <si>
    <t xml:space="preserve">China 80 km/hr, 250 Passbys </t>
  </si>
  <si>
    <t xml:space="preserve">China 80 km/hr, 400 Passbys </t>
  </si>
  <si>
    <t>China 250 km/hr, 250 Passbys</t>
  </si>
  <si>
    <t>China 250 km/hr, 400 Passbys</t>
  </si>
  <si>
    <t>China 300 km/hr, 250 Passbys</t>
  </si>
  <si>
    <t>China 300 km/hr, 400 Passbys</t>
  </si>
  <si>
    <t>China 350 km/hr, 250 Passbys</t>
  </si>
  <si>
    <t>China 350 km/hr, 400 Passbys</t>
  </si>
  <si>
    <r>
      <t>L</t>
    </r>
    <r>
      <rPr>
        <vertAlign val="subscript"/>
        <sz val="10"/>
        <rFont val="Calibri"/>
        <family val="2"/>
        <scheme val="minor"/>
      </rPr>
      <t>pAEQ,pass-by</t>
    </r>
    <r>
      <rPr>
        <sz val="10"/>
        <rFont val="Calibri"/>
        <family val="2"/>
        <scheme val="minor"/>
      </rPr>
      <t xml:space="preserve"> (microphone position 4)</t>
    </r>
  </si>
  <si>
    <t>the time period defined as night.</t>
  </si>
  <si>
    <r>
      <t>Another noise metric employed in Japan is L</t>
    </r>
    <r>
      <rPr>
        <vertAlign val="subscript"/>
        <sz val="11"/>
        <color theme="1"/>
        <rFont val="Calibri"/>
        <family val="2"/>
        <scheme val="minor"/>
      </rPr>
      <t>amax</t>
    </r>
    <r>
      <rPr>
        <sz val="11"/>
        <color theme="1"/>
        <rFont val="Calibri"/>
        <family val="2"/>
        <scheme val="minor"/>
      </rPr>
      <t xml:space="preserve"> and is defined as the power- or energy-average of the "slow" maximum sound pressure level (L</t>
    </r>
    <r>
      <rPr>
        <vertAlign val="subscript"/>
        <sz val="11"/>
        <color theme="1"/>
        <rFont val="Calibri"/>
        <family val="2"/>
        <scheme val="minor"/>
      </rPr>
      <t>max, s</t>
    </r>
    <r>
      <rPr>
        <sz val="11"/>
        <color theme="1"/>
        <rFont val="Calibri"/>
        <family val="2"/>
        <scheme val="minor"/>
      </rPr>
      <t xml:space="preserve">) of 20 consecutive train passbys:  </t>
    </r>
  </si>
  <si>
    <t>Train Passby Data Set Requirements</t>
  </si>
  <si>
    <t>For rail car passby tests, the microphone is to be positioned on a line perpendicular to the track 30 m (100 ft)</t>
  </si>
  <si>
    <t>1. The program employs passby sound pressure level (SPL) data to determine whether a train set meets noise regulations:</t>
  </si>
  <si>
    <t>i. Determine passby noise level at distance of 30 m (100 ft) from track centerline</t>
  </si>
  <si>
    <t>i. Determine passby noise level at distance of 7.5 m (25 ft) from track centerline</t>
  </si>
  <si>
    <t>C. Compare train set passby data to Japanese Regulations</t>
  </si>
  <si>
    <t>ii.  Determine number of train set passbys allowed during daytime period</t>
  </si>
  <si>
    <t>iii. Determine number of train set passbys allowed during nightime period</t>
  </si>
  <si>
    <t>2. Use of Common Reference high speed train passby sound pressure levels to compare regulations from the US, EU, China, and Japan:</t>
  </si>
  <si>
    <r>
      <t xml:space="preserve">     A representative passby noise data set was scaled so the equivalent sound pressure level (L</t>
    </r>
    <r>
      <rPr>
        <vertAlign val="subscript"/>
        <sz val="11"/>
        <color theme="1"/>
        <rFont val="Calibri"/>
        <family val="2"/>
        <scheme val="minor"/>
      </rPr>
      <t>pAeq,Tp</t>
    </r>
    <r>
      <rPr>
        <sz val="11"/>
        <color theme="1"/>
        <rFont val="Calibri"/>
        <family val="2"/>
        <scheme val="minor"/>
      </rPr>
      <t>) for the passby period was equal to</t>
    </r>
  </si>
  <si>
    <t xml:space="preserve">     For countries that impose immission regulations, the program calculates the maximum number of train passby events</t>
  </si>
  <si>
    <t>The CONTRAST Spreadsheet-Based Analysis Tool was developed as an aid to evaluating train passby noise data relative to identified high speed</t>
  </si>
  <si>
    <t xml:space="preserve">train noise regulations as part of FRA Program 693JJ618C000020, "High Speed Rail: Cost of Compliance for Noise Mitigation Procedures." </t>
  </si>
  <si>
    <t xml:space="preserve"> It is provided "as is" to US DOT Federal Railroad Administration for their internal use only.  Ricardo offfers no warranties or guarantees of any kind regarding </t>
  </si>
  <si>
    <t>usage of this analysis tool.</t>
  </si>
  <si>
    <t>Summary of Current High Speed Train Noise Regulations and Metrics</t>
  </si>
  <si>
    <t>Train set information and passby sound pressure measurement data for the China CRH3 Series Trains, Microphone Position 2</t>
  </si>
  <si>
    <t>Calculated noise metrics for the China CRH3 Series Trains, Microphone Position 2, based on the passby data set</t>
  </si>
  <si>
    <t>Calculated noise metrics for the China CRH3 Series Trains, Microphone Position 1, based on the passby data set</t>
  </si>
  <si>
    <t>Train set information and passby sound pressure measurement data for the China CRH3 Series Trains, Microphone Position 3</t>
  </si>
  <si>
    <t>Calculated noise metrics for the China CRH3 Series Trains, Microphone Position 3, based on the passby data set</t>
  </si>
  <si>
    <t>The scaled passby data set that exactly meets the TSI NOI (2014) normalized limits</t>
  </si>
  <si>
    <t>Passby Data Library Summary</t>
  </si>
  <si>
    <t>Passby Data Set 1</t>
  </si>
  <si>
    <t>Passby Data Set 1 Output</t>
  </si>
  <si>
    <t>Passby Data Set 2</t>
  </si>
  <si>
    <t>Passby Data Set 2 Output</t>
  </si>
  <si>
    <t>Passby Data Set 3</t>
  </si>
  <si>
    <t>Passby Data Set 3 Output</t>
  </si>
  <si>
    <t>Passby Data Set 4</t>
  </si>
  <si>
    <t>Passby Data Set 4 Output</t>
  </si>
  <si>
    <t>Passby Data Set 5</t>
  </si>
  <si>
    <t>Passby Data Set 5 Output</t>
  </si>
  <si>
    <t>Comparisons of the data sets in the program library relative to the identified passby noise metrics associated with the regulations of each country</t>
  </si>
  <si>
    <t>Calculated noise metrics for the Thalys PBKA based on the passby data set</t>
  </si>
  <si>
    <t xml:space="preserve">Perpendicular Position </t>
  </si>
  <si>
    <t xml:space="preserve">from Track </t>
  </si>
  <si>
    <t>Centerline (m)</t>
  </si>
  <si>
    <t xml:space="preserve">Elevation above </t>
  </si>
  <si>
    <t>Top of Rail (m)</t>
  </si>
  <si>
    <t>t(j): Ratio of Passby Time to 8-Hour Night Period</t>
  </si>
  <si>
    <t>Data Point Number for Start of Passby Event (time at which microphone begins recording):</t>
  </si>
  <si>
    <t>Data Point Number for End of Passby Event (time at which microphone ends recording):</t>
  </si>
  <si>
    <t>Sound Pressure Variations for Microphone Positions &amp;</t>
  </si>
  <si>
    <t xml:space="preserve"> Train Speed from Reference 5</t>
  </si>
  <si>
    <r>
      <t>L</t>
    </r>
    <r>
      <rPr>
        <vertAlign val="subscript"/>
        <sz val="11"/>
        <color theme="1"/>
        <rFont val="Calibri"/>
        <family val="2"/>
        <scheme val="minor"/>
      </rPr>
      <t>pAeq,Tp</t>
    </r>
    <r>
      <rPr>
        <sz val="11"/>
        <color theme="1"/>
        <rFont val="Calibri"/>
        <family val="2"/>
        <scheme val="minor"/>
      </rPr>
      <t xml:space="preserve"> can be calculated from the passby data using the following Riemann Sum relationship:</t>
    </r>
  </si>
  <si>
    <r>
      <t xml:space="preserve">Measurement Uncertainty is </t>
    </r>
    <r>
      <rPr>
        <sz val="11"/>
        <color rgb="FF000000"/>
        <rFont val="+mn-ea"/>
      </rPr>
      <t>±3 dB</t>
    </r>
  </si>
  <si>
    <t xml:space="preserve">Sound Pressure Variations for Microphone Positions &amp; </t>
  </si>
  <si>
    <r>
      <rPr>
        <b/>
        <sz val="11"/>
        <color theme="3"/>
        <rFont val="Calibri"/>
        <family val="2"/>
        <scheme val="minor"/>
      </rPr>
      <t>C</t>
    </r>
    <r>
      <rPr>
        <b/>
        <sz val="11"/>
        <color theme="1"/>
        <rFont val="Calibri"/>
        <family val="2"/>
        <scheme val="minor"/>
      </rPr>
      <t>omparison</t>
    </r>
    <r>
      <rPr>
        <sz val="11"/>
        <color theme="1"/>
        <rFont val="Calibri"/>
        <family val="2"/>
        <scheme val="minor"/>
      </rPr>
      <t xml:space="preserve"> </t>
    </r>
    <r>
      <rPr>
        <b/>
        <sz val="11"/>
        <color theme="3"/>
        <rFont val="Calibri"/>
        <family val="2"/>
        <scheme val="minor"/>
      </rPr>
      <t>O</t>
    </r>
    <r>
      <rPr>
        <b/>
        <sz val="11"/>
        <color theme="1"/>
        <rFont val="Calibri"/>
        <family val="2"/>
        <scheme val="minor"/>
      </rPr>
      <t xml:space="preserve">f </t>
    </r>
    <r>
      <rPr>
        <b/>
        <sz val="11"/>
        <color theme="3"/>
        <rFont val="Calibri"/>
        <family val="2"/>
        <scheme val="minor"/>
      </rPr>
      <t>N</t>
    </r>
    <r>
      <rPr>
        <b/>
        <sz val="11"/>
        <color theme="1"/>
        <rFont val="Calibri"/>
        <family val="2"/>
        <scheme val="minor"/>
      </rPr>
      <t>oise for</t>
    </r>
    <r>
      <rPr>
        <sz val="11"/>
        <color theme="1"/>
        <rFont val="Calibri"/>
        <family val="2"/>
        <scheme val="minor"/>
      </rPr>
      <t xml:space="preserve"> </t>
    </r>
    <r>
      <rPr>
        <b/>
        <sz val="11"/>
        <color theme="3"/>
        <rFont val="Calibri"/>
        <family val="2"/>
        <scheme val="minor"/>
      </rPr>
      <t>TRA</t>
    </r>
    <r>
      <rPr>
        <b/>
        <sz val="11"/>
        <color theme="1"/>
        <rFont val="Calibri"/>
        <family val="2"/>
        <scheme val="minor"/>
      </rPr>
      <t>in</t>
    </r>
    <r>
      <rPr>
        <sz val="11"/>
        <color theme="1"/>
        <rFont val="Calibri"/>
        <family val="2"/>
        <scheme val="minor"/>
      </rPr>
      <t xml:space="preserve"> </t>
    </r>
    <r>
      <rPr>
        <b/>
        <sz val="11"/>
        <color theme="3"/>
        <rFont val="Calibri"/>
        <family val="2"/>
        <scheme val="minor"/>
      </rPr>
      <t>ST</t>
    </r>
    <r>
      <rPr>
        <b/>
        <sz val="11"/>
        <color theme="1"/>
        <rFont val="Calibri"/>
        <family val="2"/>
        <scheme val="minor"/>
      </rPr>
      <t>andards</t>
    </r>
  </si>
  <si>
    <r>
      <rPr>
        <b/>
        <sz val="11"/>
        <color theme="3"/>
        <rFont val="Calibri"/>
        <family val="2"/>
        <scheme val="minor"/>
      </rPr>
      <t>C</t>
    </r>
    <r>
      <rPr>
        <sz val="11"/>
        <color theme="1"/>
        <rFont val="Calibri"/>
        <family val="2"/>
        <scheme val="minor"/>
      </rPr>
      <t xml:space="preserve">omparison </t>
    </r>
    <r>
      <rPr>
        <b/>
        <sz val="11"/>
        <color theme="3"/>
        <rFont val="Calibri"/>
        <family val="2"/>
        <scheme val="minor"/>
      </rPr>
      <t>O</t>
    </r>
    <r>
      <rPr>
        <sz val="11"/>
        <color theme="1"/>
        <rFont val="Calibri"/>
        <family val="2"/>
        <scheme val="minor"/>
      </rPr>
      <t xml:space="preserve">f </t>
    </r>
    <r>
      <rPr>
        <b/>
        <sz val="11"/>
        <color theme="3"/>
        <rFont val="Calibri"/>
        <family val="2"/>
        <scheme val="minor"/>
      </rPr>
      <t>N</t>
    </r>
    <r>
      <rPr>
        <sz val="11"/>
        <color theme="1"/>
        <rFont val="Calibri"/>
        <family val="2"/>
        <scheme val="minor"/>
      </rPr>
      <t xml:space="preserve">oise for </t>
    </r>
    <r>
      <rPr>
        <b/>
        <sz val="11"/>
        <color theme="3"/>
        <rFont val="Calibri"/>
        <family val="2"/>
        <scheme val="minor"/>
      </rPr>
      <t>TRA</t>
    </r>
    <r>
      <rPr>
        <sz val="11"/>
        <color theme="1"/>
        <rFont val="Calibri"/>
        <family val="2"/>
        <scheme val="minor"/>
      </rPr>
      <t xml:space="preserve">in </t>
    </r>
    <r>
      <rPr>
        <b/>
        <sz val="11"/>
        <color theme="3"/>
        <rFont val="Calibri"/>
        <family val="2"/>
        <scheme val="minor"/>
      </rPr>
      <t>ST</t>
    </r>
    <r>
      <rPr>
        <sz val="11"/>
        <color theme="1"/>
        <rFont val="Calibri"/>
        <family val="2"/>
        <scheme val="minor"/>
      </rPr>
      <t>andards</t>
    </r>
  </si>
  <si>
    <t>Highest 0.125-second interval occurs from start time</t>
  </si>
  <si>
    <r>
      <t>Scale K factor for 80 mph so L</t>
    </r>
    <r>
      <rPr>
        <vertAlign val="subscript"/>
        <sz val="11"/>
        <color theme="1"/>
        <rFont val="Calibri"/>
        <family val="2"/>
        <scheme val="minor"/>
      </rPr>
      <t>pAeq,Tp</t>
    </r>
    <r>
      <rPr>
        <sz val="11"/>
        <color theme="1"/>
        <rFont val="Calibri"/>
        <family val="2"/>
        <scheme val="minor"/>
      </rPr>
      <t xml:space="preserve"> = (17.93218/17.0460517)*30.000  where 30.000 is the original K factor for the Thalys at 80 km/hr.</t>
    </r>
  </si>
  <si>
    <r>
      <t>From the Microphone Position 1 table above, the normalized values for L</t>
    </r>
    <r>
      <rPr>
        <vertAlign val="subscript"/>
        <sz val="11"/>
        <color theme="1"/>
        <rFont val="Calibri"/>
        <family val="2"/>
        <scheme val="minor"/>
      </rPr>
      <t>pAeq,Tp</t>
    </r>
    <r>
      <rPr>
        <sz val="11"/>
        <color theme="1"/>
        <rFont val="Calibri"/>
        <family val="2"/>
        <scheme val="minor"/>
      </rPr>
      <t xml:space="preserve"> can be found and are identified below:</t>
    </r>
  </si>
  <si>
    <t xml:space="preserve">An analysis conducted during the current study indicated the integral can be determined numerically, with acceptable accuracy, by employing a midpoint Reimann sum scheme with a minimum </t>
  </si>
  <si>
    <t>Calculated noise metrics for the Korean HEMU-430X based on the passby data set</t>
  </si>
  <si>
    <t>Train set information and passby sound pressure measurement data for the Thalys PBKA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</si>
</sst>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0"/>
    <numFmt numFmtId="165" formatCode="0.0000000E+00"/>
    <numFmt numFmtId="166" formatCode="0.000"/>
    <numFmt numFmtId="167" formatCode="0.000000"/>
    <numFmt numFmtId="168" formatCode="0.00000E+00"/>
    <numFmt numFmtId="169" formatCode="0.0000"/>
    <numFmt numFmtId="170" formatCode="0.0"/>
    <numFmt numFmtId="171" formatCode="0.00000%"/>
    <numFmt numFmtId="172" formatCode="0.0000000"/>
    <numFmt numFmtId="173" formatCode="0.00000000"/>
  </numFmts>
  <fonts count="60">
    <font>
      <sz val="11"/>
      <color theme="1"/>
      <name val="Calibri"/>
      <family val="2"/>
      <scheme val="minor"/>
    </font>
    <font>
      <sz val="11"/>
      <color rgb="FFFF0000"/>
      <name val="Calibri"/>
      <family val="2"/>
      <scheme val="minor"/>
    </font>
    <font>
      <b/>
      <sz val="11"/>
      <color theme="1"/>
      <name val="Calibri"/>
      <family val="2"/>
      <scheme val="minor"/>
    </font>
    <font>
      <vertAlign val="subscript"/>
      <sz val="11"/>
      <color theme="1"/>
      <name val="Calibri"/>
      <family val="2"/>
      <scheme val="minor"/>
    </font>
    <font>
      <sz val="11"/>
      <color theme="1"/>
      <name val="Arial"/>
      <family val="2"/>
    </font>
    <font>
      <sz val="11"/>
      <color theme="1"/>
      <name val="Calibri"/>
      <family val="2"/>
    </font>
    <font>
      <sz val="11"/>
      <name val="Calibri"/>
      <family val="2"/>
      <scheme val="minor"/>
    </font>
    <font>
      <b/>
      <sz val="10"/>
      <name val="Calibri"/>
      <family val="2"/>
    </font>
    <font>
      <sz val="10"/>
      <color rgb="FF000000"/>
      <name val="Calibri"/>
      <family val="2"/>
    </font>
    <font>
      <sz val="10"/>
      <name val="Calibri"/>
      <family val="2"/>
    </font>
    <font>
      <sz val="9"/>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name val="Calibri"/>
      <family val="2"/>
      <scheme val="minor"/>
    </font>
    <font>
      <b/>
      <vertAlign val="subscript"/>
      <sz val="11"/>
      <color theme="1"/>
      <name val="Calibri"/>
      <family val="2"/>
      <scheme val="minor"/>
    </font>
    <font>
      <b/>
      <sz val="11"/>
      <color theme="1"/>
      <name val="Arial"/>
      <family val="2"/>
    </font>
    <font>
      <vertAlign val="subscript"/>
      <sz val="10"/>
      <color theme="1"/>
      <name val="Calibri"/>
      <family val="2"/>
      <scheme val="minor"/>
    </font>
    <font>
      <b/>
      <sz val="11"/>
      <color theme="1"/>
      <name val="Calibri"/>
      <family val="2"/>
    </font>
    <font>
      <i/>
      <sz val="11"/>
      <color theme="1"/>
      <name val="Calibri"/>
      <family val="2"/>
      <scheme val="minor"/>
    </font>
    <font>
      <i/>
      <sz val="9"/>
      <color theme="1"/>
      <name val="Calibri"/>
      <family val="2"/>
      <scheme val="minor"/>
    </font>
    <font>
      <vertAlign val="superscript"/>
      <sz val="9"/>
      <color theme="1"/>
      <name val="Calibri"/>
      <family val="2"/>
      <scheme val="minor"/>
    </font>
    <font>
      <vertAlign val="superscript"/>
      <sz val="10"/>
      <color theme="1"/>
      <name val="Calibri"/>
      <family val="2"/>
      <scheme val="minor"/>
    </font>
    <font>
      <vertAlign val="superscript"/>
      <sz val="10"/>
      <name val="Calibri"/>
      <family val="2"/>
      <scheme val="minor"/>
    </font>
    <font>
      <sz val="10"/>
      <color rgb="FFFF0000"/>
      <name val="Calibri"/>
      <family val="2"/>
      <scheme val="minor"/>
    </font>
    <font>
      <sz val="10"/>
      <color rgb="FFFFFFFF"/>
      <name val="Calibri"/>
      <family val="2"/>
      <scheme val="minor"/>
    </font>
    <font>
      <sz val="9.9"/>
      <color theme="1"/>
      <name val="Calibri"/>
      <family val="2"/>
    </font>
    <font>
      <b/>
      <sz val="11"/>
      <color theme="4"/>
      <name val="Calibri"/>
      <family val="2"/>
      <scheme val="minor"/>
    </font>
    <font>
      <sz val="11"/>
      <color theme="1"/>
      <name val="Calibri"/>
      <family val="2"/>
      <scheme val="minor"/>
    </font>
    <font>
      <vertAlign val="superscript"/>
      <sz val="11"/>
      <color theme="1"/>
      <name val="Calibri"/>
      <family val="2"/>
      <scheme val="minor"/>
    </font>
    <font>
      <b/>
      <vertAlign val="superscript"/>
      <sz val="10"/>
      <name val="Calibri"/>
      <family val="2"/>
      <scheme val="minor"/>
    </font>
    <font>
      <sz val="11"/>
      <color theme="1"/>
      <name val="Times New Roman"/>
      <family val="1"/>
    </font>
    <font>
      <b/>
      <vertAlign val="superscript"/>
      <sz val="11"/>
      <color theme="1"/>
      <name val="Calibri"/>
      <family val="2"/>
      <scheme val="minor"/>
    </font>
    <font>
      <b/>
      <vertAlign val="superscript"/>
      <sz val="10"/>
      <color theme="1"/>
      <name val="Calibri"/>
      <family val="2"/>
      <scheme val="minor"/>
    </font>
    <font>
      <sz val="9.5"/>
      <color theme="1"/>
      <name val="Calibri"/>
      <family val="2"/>
      <scheme val="minor"/>
    </font>
    <font>
      <b/>
      <vertAlign val="subscript"/>
      <sz val="10"/>
      <color theme="1"/>
      <name val="Calibri"/>
      <family val="2"/>
      <scheme val="minor"/>
    </font>
    <font>
      <u/>
      <sz val="11"/>
      <color theme="1"/>
      <name val="Calibri"/>
      <family val="2"/>
      <scheme val="minor"/>
    </font>
    <font>
      <sz val="10"/>
      <color rgb="FF000000"/>
      <name val="Calibri"/>
      <family val="2"/>
      <scheme val="minor"/>
    </font>
    <font>
      <vertAlign val="superscript"/>
      <sz val="10"/>
      <color rgb="FF000000"/>
      <name val="Calibri"/>
      <family val="2"/>
      <scheme val="minor"/>
    </font>
    <font>
      <sz val="10"/>
      <color theme="1"/>
      <name val="Arial"/>
      <family val="2"/>
    </font>
    <font>
      <i/>
      <sz val="10"/>
      <name val="Calibri"/>
      <family val="2"/>
      <scheme val="minor"/>
    </font>
    <font>
      <b/>
      <sz val="11"/>
      <color rgb="FFFF0000"/>
      <name val="Calibri"/>
      <family val="2"/>
      <scheme val="minor"/>
    </font>
    <font>
      <sz val="12"/>
      <color theme="1"/>
      <name val="Times New Roman"/>
      <family val="1"/>
    </font>
    <font>
      <b/>
      <sz val="10"/>
      <color theme="1"/>
      <name val="Times New Roman"/>
      <family val="1"/>
    </font>
    <font>
      <b/>
      <sz val="11"/>
      <name val="Calibri"/>
      <family val="2"/>
      <scheme val="minor"/>
    </font>
    <font>
      <i/>
      <sz val="10"/>
      <color theme="1"/>
      <name val="Calibri"/>
      <family val="2"/>
      <scheme val="minor"/>
    </font>
    <font>
      <b/>
      <i/>
      <sz val="11"/>
      <color theme="1"/>
      <name val="Calibri"/>
      <family val="2"/>
      <scheme val="minor"/>
    </font>
    <font>
      <b/>
      <i/>
      <vertAlign val="subscript"/>
      <sz val="11"/>
      <color theme="1"/>
      <name val="Calibri"/>
      <family val="2"/>
      <scheme val="minor"/>
    </font>
    <font>
      <sz val="10"/>
      <color theme="1"/>
      <name val="Times New Roman"/>
      <family val="1"/>
    </font>
    <font>
      <sz val="10"/>
      <color theme="1"/>
      <name val="Calibri"/>
      <family val="2"/>
    </font>
    <font>
      <vertAlign val="subscript"/>
      <sz val="10"/>
      <color theme="1"/>
      <name val="Calibri"/>
      <family val="2"/>
    </font>
    <font>
      <i/>
      <vertAlign val="subscript"/>
      <sz val="10"/>
      <color theme="1"/>
      <name val="Calibri"/>
      <family val="2"/>
      <scheme val="minor"/>
    </font>
    <font>
      <vertAlign val="superscript"/>
      <sz val="11"/>
      <color theme="1"/>
      <name val="Calibri"/>
      <family val="2"/>
    </font>
    <font>
      <sz val="14"/>
      <color theme="1"/>
      <name val="Times New Roman"/>
      <family val="1"/>
    </font>
    <font>
      <sz val="12"/>
      <color theme="1"/>
      <name val="Arial"/>
      <family val="2"/>
    </font>
    <font>
      <b/>
      <sz val="12"/>
      <color theme="1"/>
      <name val="Calibri"/>
      <family val="2"/>
      <scheme val="minor"/>
    </font>
    <font>
      <b/>
      <sz val="11"/>
      <color theme="3"/>
      <name val="Calibri"/>
      <family val="2"/>
      <scheme val="minor"/>
    </font>
    <font>
      <vertAlign val="subscript"/>
      <sz val="10"/>
      <name val="Calibri"/>
      <family val="2"/>
      <scheme val="minor"/>
    </font>
    <font>
      <sz val="11"/>
      <color rgb="FF000000"/>
      <name val="Calibri"/>
      <family val="2"/>
      <scheme val="minor"/>
    </font>
    <font>
      <sz val="11"/>
      <color rgb="FF000000"/>
      <name val="+mn-ea"/>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3"/>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9" fontId="28" fillId="0" borderId="0" applyFont="0" applyFill="0" applyBorder="0" applyAlignment="0" applyProtection="0"/>
  </cellStyleXfs>
  <cellXfs count="738">
    <xf numFmtId="0" fontId="0" fillId="0" borderId="0" xfId="0"/>
    <xf numFmtId="0" fontId="0" fillId="0" borderId="0" xfId="0" applyAlignment="1">
      <alignment horizontal="center"/>
    </xf>
    <xf numFmtId="0" fontId="7" fillId="3" borderId="1" xfId="0" applyFont="1" applyFill="1" applyBorder="1" applyAlignment="1">
      <alignment horizontal="center" vertical="center" wrapText="1" readingOrder="1"/>
    </xf>
    <xf numFmtId="0" fontId="0" fillId="0" borderId="0" xfId="0"/>
    <xf numFmtId="0" fontId="0" fillId="0" borderId="0" xfId="0" applyAlignment="1">
      <alignment horizontal="center"/>
    </xf>
    <xf numFmtId="0" fontId="2" fillId="3" borderId="1" xfId="0" applyFont="1" applyFill="1" applyBorder="1" applyAlignment="1">
      <alignment horizontal="center"/>
    </xf>
    <xf numFmtId="0" fontId="0" fillId="0" borderId="0" xfId="0" applyAlignment="1">
      <alignment horizontal="center" vertical="center"/>
    </xf>
    <xf numFmtId="0" fontId="0" fillId="2" borderId="5" xfId="0" applyFill="1" applyBorder="1"/>
    <xf numFmtId="0" fontId="0" fillId="2" borderId="6" xfId="0" applyFill="1" applyBorder="1"/>
    <xf numFmtId="0" fontId="0" fillId="2" borderId="7" xfId="0" applyFill="1" applyBorder="1"/>
    <xf numFmtId="0" fontId="0" fillId="2" borderId="4" xfId="0" applyFill="1" applyBorder="1"/>
    <xf numFmtId="0" fontId="0" fillId="2" borderId="0" xfId="0" applyFill="1" applyBorder="1"/>
    <xf numFmtId="0" fontId="0" fillId="2" borderId="8" xfId="0" applyFill="1" applyBorder="1"/>
    <xf numFmtId="0" fontId="16" fillId="2" borderId="0" xfId="0" applyFont="1" applyFill="1" applyBorder="1"/>
    <xf numFmtId="0" fontId="0" fillId="2" borderId="0" xfId="0" applyFill="1" applyBorder="1" applyAlignment="1">
      <alignment horizontal="right"/>
    </xf>
    <xf numFmtId="0" fontId="0" fillId="2" borderId="0" xfId="0" applyFill="1" applyBorder="1" applyAlignment="1">
      <alignment horizontal="center"/>
    </xf>
    <xf numFmtId="15" fontId="0" fillId="2" borderId="0" xfId="0" applyNumberFormat="1" applyFill="1" applyBorder="1"/>
    <xf numFmtId="0" fontId="0" fillId="2" borderId="9" xfId="0" applyFill="1" applyBorder="1"/>
    <xf numFmtId="0" fontId="0" fillId="2" borderId="10" xfId="0" applyFill="1" applyBorder="1"/>
    <xf numFmtId="0" fontId="0" fillId="2" borderId="11" xfId="0" applyFill="1" applyBorder="1"/>
    <xf numFmtId="0" fontId="0" fillId="0" borderId="0" xfId="0" applyAlignment="1">
      <alignment vertical="center"/>
    </xf>
    <xf numFmtId="0" fontId="16" fillId="2" borderId="6" xfId="0" applyFont="1" applyFill="1" applyBorder="1" applyAlignment="1">
      <alignment vertical="center"/>
    </xf>
    <xf numFmtId="0" fontId="16" fillId="2" borderId="10" xfId="0" applyFont="1" applyFill="1" applyBorder="1" applyAlignment="1">
      <alignment vertical="center"/>
    </xf>
    <xf numFmtId="0" fontId="11" fillId="0" borderId="1" xfId="0" applyFont="1" applyBorder="1" applyAlignment="1">
      <alignment horizontal="center" vertical="center"/>
    </xf>
    <xf numFmtId="0" fontId="8" fillId="2" borderId="1" xfId="0" applyFont="1" applyFill="1" applyBorder="1" applyAlignment="1">
      <alignment horizontal="center" vertical="center" wrapText="1" readingOrder="1"/>
    </xf>
    <xf numFmtId="164" fontId="8" fillId="2" borderId="1" xfId="0" applyNumberFormat="1" applyFont="1" applyFill="1" applyBorder="1" applyAlignment="1">
      <alignment horizontal="center" vertical="center" wrapText="1" readingOrder="1"/>
    </xf>
    <xf numFmtId="2" fontId="8" fillId="2" borderId="1" xfId="0" applyNumberFormat="1" applyFont="1" applyFill="1" applyBorder="1" applyAlignment="1">
      <alignment horizontal="center" vertical="center" wrapText="1" readingOrder="1"/>
    </xf>
    <xf numFmtId="0" fontId="9" fillId="2" borderId="1" xfId="0" applyFont="1" applyFill="1" applyBorder="1" applyAlignment="1">
      <alignment horizontal="center" vertical="center" wrapText="1" readingOrder="1"/>
    </xf>
    <xf numFmtId="0" fontId="2" fillId="3" borderId="5" xfId="0" applyFont="1" applyFill="1" applyBorder="1"/>
    <xf numFmtId="0" fontId="2" fillId="3" borderId="6" xfId="0" applyFont="1" applyFill="1" applyBorder="1"/>
    <xf numFmtId="0" fontId="2" fillId="3" borderId="7" xfId="0" applyFont="1" applyFill="1" applyBorder="1"/>
    <xf numFmtId="0" fontId="2" fillId="3" borderId="4" xfId="0" applyFont="1" applyFill="1" applyBorder="1"/>
    <xf numFmtId="0" fontId="2" fillId="3" borderId="0" xfId="0" applyFont="1" applyFill="1" applyBorder="1"/>
    <xf numFmtId="0" fontId="2" fillId="3" borderId="8" xfId="0" applyFont="1" applyFill="1" applyBorder="1"/>
    <xf numFmtId="0" fontId="2" fillId="3" borderId="9" xfId="0" applyFont="1" applyFill="1" applyBorder="1"/>
    <xf numFmtId="0" fontId="2" fillId="3" borderId="10" xfId="0" applyFont="1" applyFill="1" applyBorder="1"/>
    <xf numFmtId="0" fontId="2" fillId="3" borderId="11" xfId="0" applyFont="1" applyFill="1" applyBorder="1"/>
    <xf numFmtId="0" fontId="0" fillId="3" borderId="5" xfId="0" applyFill="1" applyBorder="1"/>
    <xf numFmtId="0" fontId="0" fillId="3" borderId="9" xfId="0" applyFill="1" applyBorder="1"/>
    <xf numFmtId="0" fontId="10" fillId="0" borderId="0" xfId="0" applyFont="1" applyAlignment="1">
      <alignment vertical="center"/>
    </xf>
    <xf numFmtId="0" fontId="0" fillId="0" borderId="0" xfId="0"/>
    <xf numFmtId="0" fontId="0" fillId="0" borderId="1" xfId="0"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0" borderId="0" xfId="0" applyBorder="1"/>
    <xf numFmtId="0" fontId="0" fillId="2" borderId="0" xfId="0" applyFill="1"/>
    <xf numFmtId="0" fontId="2" fillId="2" borderId="6" xfId="0" applyFont="1" applyFill="1" applyBorder="1"/>
    <xf numFmtId="0" fontId="5" fillId="2" borderId="0" xfId="0" applyFont="1" applyFill="1" applyBorder="1"/>
    <xf numFmtId="0" fontId="19" fillId="2" borderId="0" xfId="0" applyFont="1" applyFill="1" applyBorder="1"/>
    <xf numFmtId="0" fontId="19" fillId="2" borderId="8" xfId="0" applyFont="1" applyFill="1" applyBorder="1"/>
    <xf numFmtId="0" fontId="1" fillId="2" borderId="0" xfId="0" applyFont="1" applyFill="1" applyBorder="1"/>
    <xf numFmtId="0" fontId="0" fillId="2" borderId="0" xfId="0" applyFill="1" applyBorder="1" applyAlignment="1"/>
    <xf numFmtId="0" fontId="0" fillId="2" borderId="0" xfId="0" applyNumberFormat="1" applyFill="1" applyBorder="1"/>
    <xf numFmtId="0" fontId="0" fillId="2" borderId="0" xfId="0" applyFont="1" applyFill="1" applyBorder="1" applyAlignment="1">
      <alignment horizontal="left"/>
    </xf>
    <xf numFmtId="0" fontId="11" fillId="2" borderId="14" xfId="0" applyFont="1" applyFill="1" applyBorder="1" applyAlignment="1">
      <alignment vertical="center" wrapText="1"/>
    </xf>
    <xf numFmtId="0" fontId="11" fillId="2" borderId="15" xfId="0" applyFont="1" applyFill="1" applyBorder="1" applyAlignment="1">
      <alignment vertical="center" wrapText="1"/>
    </xf>
    <xf numFmtId="0" fontId="0" fillId="2" borderId="0" xfId="0" applyFill="1" applyAlignment="1">
      <alignment horizontal="left"/>
    </xf>
    <xf numFmtId="164" fontId="8" fillId="2" borderId="0" xfId="0" applyNumberFormat="1" applyFont="1" applyFill="1" applyBorder="1" applyAlignment="1">
      <alignment horizontal="center" vertical="center" wrapText="1" readingOrder="1"/>
    </xf>
    <xf numFmtId="0" fontId="16" fillId="3" borderId="6" xfId="0" applyFont="1" applyFill="1" applyBorder="1" applyAlignment="1">
      <alignment vertical="center"/>
    </xf>
    <xf numFmtId="0" fontId="16" fillId="3" borderId="10" xfId="0" applyFont="1" applyFill="1" applyBorder="1" applyAlignment="1">
      <alignment vertical="center"/>
    </xf>
    <xf numFmtId="0" fontId="0" fillId="0" borderId="1" xfId="0" applyFont="1" applyBorder="1" applyAlignment="1">
      <alignment horizontal="center"/>
    </xf>
    <xf numFmtId="0" fontId="0" fillId="2" borderId="17" xfId="0" applyFill="1" applyBorder="1"/>
    <xf numFmtId="0" fontId="0" fillId="2" borderId="1" xfId="0" applyFont="1" applyFill="1" applyBorder="1" applyAlignment="1">
      <alignment horizontal="center"/>
    </xf>
    <xf numFmtId="0" fontId="0" fillId="2" borderId="1" xfId="0" applyFont="1" applyFill="1" applyBorder="1" applyAlignment="1">
      <alignment horizontal="center" vertical="center"/>
    </xf>
    <xf numFmtId="0" fontId="0" fillId="2" borderId="1" xfId="0" applyFill="1" applyBorder="1" applyAlignment="1">
      <alignment horizontal="center"/>
    </xf>
    <xf numFmtId="0" fontId="0" fillId="2" borderId="0" xfId="0" applyFill="1" applyBorder="1" applyAlignment="1">
      <alignment horizontal="center" vertical="center"/>
    </xf>
    <xf numFmtId="0" fontId="0" fillId="2" borderId="18" xfId="0" applyFill="1" applyBorder="1"/>
    <xf numFmtId="0" fontId="2" fillId="3" borderId="17" xfId="0" applyFont="1" applyFill="1" applyBorder="1" applyAlignment="1">
      <alignment horizontal="center" vertical="center"/>
    </xf>
    <xf numFmtId="0" fontId="11"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10" fillId="2" borderId="4" xfId="0" applyFont="1" applyFill="1" applyBorder="1"/>
    <xf numFmtId="0" fontId="10" fillId="2" borderId="0" xfId="0" applyFont="1" applyFill="1" applyBorder="1" applyAlignment="1">
      <alignment horizontal="center"/>
    </xf>
    <xf numFmtId="0" fontId="10" fillId="2" borderId="0" xfId="0" applyFont="1" applyFill="1" applyBorder="1" applyAlignment="1">
      <alignment vertical="center"/>
    </xf>
    <xf numFmtId="0" fontId="10" fillId="2" borderId="0" xfId="0" applyFont="1" applyFill="1" applyBorder="1"/>
    <xf numFmtId="0" fontId="21" fillId="2" borderId="4" xfId="0" applyFont="1" applyFill="1" applyBorder="1" applyAlignment="1">
      <alignment vertical="center"/>
    </xf>
    <xf numFmtId="0" fontId="0" fillId="2" borderId="0" xfId="0" applyFill="1" applyBorder="1" applyAlignment="1">
      <alignment vertical="center"/>
    </xf>
    <xf numFmtId="0" fontId="10" fillId="2" borderId="4" xfId="0" applyFont="1" applyFill="1" applyBorder="1" applyAlignment="1">
      <alignment vertical="center"/>
    </xf>
    <xf numFmtId="2" fontId="0" fillId="2" borderId="8" xfId="0" applyNumberFormat="1" applyFill="1" applyBorder="1"/>
    <xf numFmtId="0" fontId="0" fillId="2" borderId="0" xfId="0" applyFill="1" applyAlignment="1">
      <alignment vertical="center"/>
    </xf>
    <xf numFmtId="0" fontId="2" fillId="2" borderId="0" xfId="0" applyFont="1" applyFill="1" applyAlignment="1">
      <alignment horizontal="center" vertical="center"/>
    </xf>
    <xf numFmtId="0" fontId="11" fillId="2" borderId="0" xfId="0" applyFont="1" applyFill="1" applyBorder="1" applyAlignment="1">
      <alignment horizontal="center" vertical="center" wrapText="1"/>
    </xf>
    <xf numFmtId="0" fontId="0" fillId="2" borderId="0" xfId="0" applyFill="1" applyAlignment="1">
      <alignment horizontal="center" vertical="center"/>
    </xf>
    <xf numFmtId="0" fontId="24" fillId="2" borderId="0" xfId="0" applyFont="1" applyFill="1" applyBorder="1" applyAlignment="1">
      <alignment horizontal="center" vertical="center" wrapText="1"/>
    </xf>
    <xf numFmtId="2" fontId="0" fillId="2" borderId="0" xfId="0" applyNumberFormat="1" applyFill="1" applyAlignment="1">
      <alignment horizontal="center" vertical="center"/>
    </xf>
    <xf numFmtId="0" fontId="11" fillId="2" borderId="0" xfId="0" applyFont="1" applyFill="1" applyBorder="1" applyAlignment="1">
      <alignment vertical="center" wrapText="1"/>
    </xf>
    <xf numFmtId="0" fontId="12" fillId="2" borderId="0" xfId="0" applyFont="1" applyFill="1" applyBorder="1" applyAlignment="1">
      <alignment vertical="center" wrapText="1"/>
    </xf>
    <xf numFmtId="165" fontId="0" fillId="2" borderId="0" xfId="0" applyNumberFormat="1" applyFill="1" applyAlignment="1">
      <alignment horizontal="center" vertical="center"/>
    </xf>
    <xf numFmtId="0" fontId="0" fillId="2" borderId="0" xfId="0" applyFill="1" applyAlignment="1">
      <alignment horizontal="center"/>
    </xf>
    <xf numFmtId="164" fontId="8" fillId="2" borderId="0" xfId="0" applyNumberFormat="1" applyFont="1" applyFill="1" applyBorder="1" applyAlignment="1">
      <alignment horizontal="left" vertical="center" wrapText="1" readingOrder="1"/>
    </xf>
    <xf numFmtId="0" fontId="0" fillId="2" borderId="1" xfId="0" applyFill="1" applyBorder="1" applyAlignment="1">
      <alignment horizont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10" xfId="0" applyFont="1" applyFill="1" applyBorder="1" applyAlignment="1">
      <alignment vertical="center"/>
    </xf>
    <xf numFmtId="0" fontId="11" fillId="0" borderId="1" xfId="0" applyFont="1" applyBorder="1" applyAlignment="1">
      <alignment horizontal="center"/>
    </xf>
    <xf numFmtId="0" fontId="0" fillId="0" borderId="1" xfId="0" applyFont="1" applyBorder="1" applyAlignment="1">
      <alignment vertical="center"/>
    </xf>
    <xf numFmtId="0" fontId="0" fillId="0" borderId="1" xfId="0" applyFont="1" applyFill="1" applyBorder="1" applyAlignment="1">
      <alignment horizontal="center"/>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14" fontId="2" fillId="3" borderId="1" xfId="0" applyNumberFormat="1" applyFont="1" applyFill="1" applyBorder="1" applyAlignment="1">
      <alignment horizontal="center" vertical="center"/>
    </xf>
    <xf numFmtId="2" fontId="0" fillId="0" borderId="1" xfId="0" applyNumberFormat="1" applyBorder="1" applyAlignment="1">
      <alignment horizontal="center"/>
    </xf>
    <xf numFmtId="167" fontId="0" fillId="0" borderId="1" xfId="0" applyNumberFormat="1" applyBorder="1" applyAlignment="1">
      <alignment horizontal="center"/>
    </xf>
    <xf numFmtId="168" fontId="0" fillId="0" borderId="1" xfId="0" applyNumberFormat="1" applyBorder="1" applyAlignment="1">
      <alignment horizontal="center"/>
    </xf>
    <xf numFmtId="0" fontId="16" fillId="3" borderId="0" xfId="0" applyFont="1" applyFill="1" applyBorder="1" applyAlignment="1">
      <alignment vertical="center"/>
    </xf>
    <xf numFmtId="0" fontId="2" fillId="2" borderId="5" xfId="0" applyFont="1" applyFill="1" applyBorder="1"/>
    <xf numFmtId="2" fontId="0" fillId="2" borderId="0" xfId="0" applyNumberFormat="1" applyFill="1" applyBorder="1" applyAlignment="1">
      <alignment horizontal="center"/>
    </xf>
    <xf numFmtId="0" fontId="0" fillId="2" borderId="10" xfId="0" applyFill="1" applyBorder="1" applyAlignment="1">
      <alignment horizontal="center"/>
    </xf>
    <xf numFmtId="0" fontId="11" fillId="2" borderId="0" xfId="0" applyFont="1" applyFill="1" applyBorder="1" applyAlignment="1">
      <alignment vertical="center"/>
    </xf>
    <xf numFmtId="0" fontId="0" fillId="3" borderId="4" xfId="0" applyFill="1" applyBorder="1"/>
    <xf numFmtId="0" fontId="4" fillId="3" borderId="0" xfId="0" applyFont="1" applyFill="1" applyBorder="1" applyAlignment="1">
      <alignment vertical="center"/>
    </xf>
    <xf numFmtId="0" fontId="2" fillId="2" borderId="0" xfId="0" applyFont="1" applyFill="1" applyBorder="1"/>
    <xf numFmtId="0" fontId="2" fillId="2" borderId="0"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0" fillId="2" borderId="4" xfId="0" applyFill="1" applyBorder="1" applyAlignment="1">
      <alignment vertical="center"/>
    </xf>
    <xf numFmtId="1" fontId="0" fillId="2" borderId="0" xfId="0" applyNumberFormat="1" applyFill="1" applyBorder="1" applyAlignment="1">
      <alignment horizontal="center" vertical="center"/>
    </xf>
    <xf numFmtId="168" fontId="0" fillId="2" borderId="0" xfId="0" applyNumberFormat="1" applyFill="1" applyBorder="1"/>
    <xf numFmtId="0" fontId="0" fillId="2" borderId="9" xfId="0" applyFill="1" applyBorder="1" applyAlignment="1">
      <alignment vertical="center"/>
    </xf>
    <xf numFmtId="0" fontId="0" fillId="2" borderId="10" xfId="0" applyFill="1" applyBorder="1" applyAlignment="1">
      <alignment vertical="center"/>
    </xf>
    <xf numFmtId="0" fontId="2" fillId="2" borderId="10" xfId="0" applyFont="1" applyFill="1" applyBorder="1" applyAlignment="1">
      <alignment horizontal="center" vertical="center"/>
    </xf>
    <xf numFmtId="0" fontId="11" fillId="2" borderId="10" xfId="0" applyFont="1" applyFill="1" applyBorder="1" applyAlignment="1">
      <alignment vertical="center" wrapText="1"/>
    </xf>
    <xf numFmtId="0" fontId="11" fillId="0" borderId="0" xfId="0" applyFont="1" applyBorder="1" applyAlignment="1">
      <alignment vertical="center"/>
    </xf>
    <xf numFmtId="0" fontId="13" fillId="3" borderId="1" xfId="0" applyFont="1" applyFill="1" applyBorder="1" applyAlignment="1">
      <alignment horizontal="center" vertical="center"/>
    </xf>
    <xf numFmtId="0" fontId="11" fillId="2" borderId="0" xfId="0" applyFont="1" applyFill="1" applyBorder="1"/>
    <xf numFmtId="0" fontId="24" fillId="2" borderId="0" xfId="0" applyFont="1" applyFill="1" applyAlignment="1">
      <alignment vertical="center"/>
    </xf>
    <xf numFmtId="0" fontId="11" fillId="2" borderId="5" xfId="0" applyFont="1" applyFill="1" applyBorder="1"/>
    <xf numFmtId="0" fontId="11" fillId="2" borderId="6" xfId="0" applyFont="1" applyFill="1" applyBorder="1"/>
    <xf numFmtId="0" fontId="22" fillId="2" borderId="4" xfId="0" applyFont="1" applyFill="1" applyBorder="1"/>
    <xf numFmtId="0" fontId="11" fillId="2" borderId="9" xfId="0" applyFont="1" applyFill="1" applyBorder="1"/>
    <xf numFmtId="0" fontId="11" fillId="2" borderId="10" xfId="0" applyFont="1" applyFill="1" applyBorder="1"/>
    <xf numFmtId="0" fontId="2" fillId="2" borderId="5" xfId="0" applyFont="1" applyFill="1" applyBorder="1" applyAlignment="1">
      <alignment vertical="center"/>
    </xf>
    <xf numFmtId="0" fontId="0" fillId="2" borderId="6" xfId="0" applyFill="1" applyBorder="1" applyAlignment="1">
      <alignment horizontal="center" vertical="center"/>
    </xf>
    <xf numFmtId="0" fontId="11" fillId="2" borderId="6" xfId="0" applyFont="1"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left" vertical="center"/>
    </xf>
    <xf numFmtId="0" fontId="0" fillId="2" borderId="10" xfId="0" applyFill="1" applyBorder="1" applyAlignment="1">
      <alignment horizontal="center" vertical="center"/>
    </xf>
    <xf numFmtId="0" fontId="24" fillId="2" borderId="10" xfId="0" applyFont="1" applyFill="1" applyBorder="1" applyAlignment="1">
      <alignment vertical="center"/>
    </xf>
    <xf numFmtId="0" fontId="24" fillId="2" borderId="0" xfId="0" applyFont="1" applyFill="1" applyBorder="1" applyAlignment="1">
      <alignment vertical="center"/>
    </xf>
    <xf numFmtId="0" fontId="0" fillId="2" borderId="6" xfId="0" applyFill="1" applyBorder="1" applyAlignment="1">
      <alignment vertical="center"/>
    </xf>
    <xf numFmtId="0" fontId="24" fillId="2" borderId="6" xfId="0" applyFont="1" applyFill="1" applyBorder="1" applyAlignment="1">
      <alignment vertical="center"/>
    </xf>
    <xf numFmtId="0" fontId="0" fillId="2" borderId="4" xfId="0" applyFont="1" applyFill="1" applyBorder="1" applyAlignment="1">
      <alignment vertical="center"/>
    </xf>
    <xf numFmtId="0" fontId="12" fillId="2" borderId="0" xfId="0" applyFont="1" applyFill="1" applyBorder="1" applyAlignment="1">
      <alignment horizontal="center" vertical="center"/>
    </xf>
    <xf numFmtId="0" fontId="0" fillId="0" borderId="4" xfId="0" applyBorder="1" applyAlignment="1">
      <alignment vertical="center"/>
    </xf>
    <xf numFmtId="0" fontId="2" fillId="2" borderId="4" xfId="0" applyFont="1" applyFill="1" applyBorder="1" applyAlignment="1">
      <alignment vertical="center"/>
    </xf>
    <xf numFmtId="2" fontId="0" fillId="2" borderId="10" xfId="0" applyNumberFormat="1" applyFill="1" applyBorder="1" applyAlignment="1">
      <alignment horizontal="center"/>
    </xf>
    <xf numFmtId="2" fontId="2" fillId="2" borderId="0" xfId="0" applyNumberFormat="1" applyFont="1" applyFill="1" applyBorder="1" applyAlignment="1">
      <alignment horizontal="center"/>
    </xf>
    <xf numFmtId="0" fontId="2" fillId="2" borderId="10" xfId="0" applyFont="1" applyFill="1" applyBorder="1"/>
    <xf numFmtId="2" fontId="2" fillId="2" borderId="10" xfId="0" applyNumberFormat="1" applyFont="1" applyFill="1" applyBorder="1" applyAlignment="1">
      <alignment horizontal="center"/>
    </xf>
    <xf numFmtId="0" fontId="2" fillId="2" borderId="10" xfId="0" applyFont="1" applyFill="1" applyBorder="1" applyAlignment="1">
      <alignment horizontal="center"/>
    </xf>
    <xf numFmtId="0" fontId="4" fillId="3" borderId="0" xfId="0" applyFont="1" applyFill="1" applyBorder="1" applyAlignment="1">
      <alignment horizontal="center" vertical="center"/>
    </xf>
    <xf numFmtId="0" fontId="27" fillId="2" borderId="0" xfId="0" applyFont="1" applyFill="1" applyBorder="1" applyAlignment="1">
      <alignment horizontal="center"/>
    </xf>
    <xf numFmtId="0" fontId="0" fillId="2" borderId="0" xfId="0" applyFill="1" applyBorder="1" applyAlignment="1">
      <alignment horizontal="left"/>
    </xf>
    <xf numFmtId="0" fontId="22" fillId="2" borderId="4" xfId="0" applyFont="1" applyFill="1" applyBorder="1" applyAlignment="1">
      <alignment vertical="center"/>
    </xf>
    <xf numFmtId="0" fontId="11" fillId="2" borderId="4" xfId="0" applyFont="1" applyFill="1" applyBorder="1" applyAlignment="1">
      <alignment vertical="center"/>
    </xf>
    <xf numFmtId="0" fontId="3" fillId="2" borderId="0" xfId="0" applyFont="1" applyFill="1" applyBorder="1" applyAlignment="1">
      <alignment horizontal="center"/>
    </xf>
    <xf numFmtId="0" fontId="0" fillId="2" borderId="0" xfId="0" applyFont="1" applyFill="1" applyBorder="1" applyAlignment="1">
      <alignment horizontal="center"/>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2" fontId="0" fillId="2" borderId="0" xfId="0" applyNumberFormat="1" applyFill="1" applyBorder="1" applyAlignment="1">
      <alignment horizontal="center" vertical="center"/>
    </xf>
    <xf numFmtId="0" fontId="29" fillId="2" borderId="4" xfId="0" applyFont="1" applyFill="1" applyBorder="1" applyAlignment="1">
      <alignment vertical="center"/>
    </xf>
    <xf numFmtId="0" fontId="13" fillId="2" borderId="0" xfId="0" applyFont="1" applyFill="1" applyBorder="1" applyAlignment="1">
      <alignment vertic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7" xfId="0" applyFont="1" applyFill="1" applyBorder="1" applyAlignment="1">
      <alignment horizontal="center" vertical="center"/>
    </xf>
    <xf numFmtId="0" fontId="13" fillId="3" borderId="1" xfId="0" applyFont="1" applyFill="1" applyBorder="1" applyAlignment="1">
      <alignment horizontal="center" vertical="center"/>
    </xf>
    <xf numFmtId="0" fontId="2" fillId="2" borderId="0" xfId="0" applyFont="1" applyFill="1"/>
    <xf numFmtId="2" fontId="2" fillId="2" borderId="0" xfId="0" applyNumberFormat="1" applyFont="1" applyFill="1" applyAlignment="1">
      <alignment horizontal="center"/>
    </xf>
    <xf numFmtId="2" fontId="0" fillId="2" borderId="10" xfId="0" applyNumberFormat="1" applyFill="1" applyBorder="1" applyAlignment="1">
      <alignment horizontal="center" vertical="center"/>
    </xf>
    <xf numFmtId="0" fontId="11" fillId="2" borderId="10" xfId="0" applyFont="1" applyFill="1" applyBorder="1" applyAlignment="1">
      <alignment vertical="center"/>
    </xf>
    <xf numFmtId="2" fontId="0" fillId="2" borderId="0" xfId="0" applyNumberFormat="1" applyFill="1" applyBorder="1" applyAlignment="1">
      <alignment horizontal="left" vertical="center"/>
    </xf>
    <xf numFmtId="169" fontId="0" fillId="2" borderId="0" xfId="0" applyNumberFormat="1" applyFill="1" applyBorder="1" applyAlignment="1">
      <alignment horizontal="center"/>
    </xf>
    <xf numFmtId="1" fontId="0" fillId="2" borderId="1" xfId="0" applyNumberFormat="1" applyFill="1" applyBorder="1" applyAlignment="1">
      <alignment horizontal="center" vertical="center"/>
    </xf>
    <xf numFmtId="0" fontId="0" fillId="2" borderId="1" xfId="0" applyFill="1" applyBorder="1" applyAlignment="1">
      <alignment horizontal="center" vertical="center"/>
    </xf>
    <xf numFmtId="169" fontId="0" fillId="2" borderId="1" xfId="0" applyNumberFormat="1" applyFill="1" applyBorder="1" applyAlignment="1">
      <alignment horizontal="center" vertical="center"/>
    </xf>
    <xf numFmtId="2" fontId="0" fillId="2" borderId="0" xfId="0" applyNumberFormat="1" applyFill="1" applyBorder="1" applyAlignment="1">
      <alignment horizontal="right" vertical="center"/>
    </xf>
    <xf numFmtId="0" fontId="11" fillId="2" borderId="1" xfId="0" applyFont="1" applyFill="1" applyBorder="1" applyAlignment="1">
      <alignment horizontal="center" vertical="center"/>
    </xf>
    <xf numFmtId="170" fontId="11" fillId="2" borderId="1" xfId="0" applyNumberFormat="1" applyFont="1" applyFill="1" applyBorder="1" applyAlignment="1">
      <alignment horizontal="center" vertical="center"/>
    </xf>
    <xf numFmtId="170" fontId="0" fillId="2" borderId="1" xfId="0" applyNumberFormat="1" applyFill="1" applyBorder="1" applyAlignment="1">
      <alignment horizontal="center"/>
    </xf>
    <xf numFmtId="2" fontId="0" fillId="2" borderId="6" xfId="0" applyNumberFormat="1" applyFill="1" applyBorder="1" applyAlignment="1">
      <alignment horizontal="center" vertical="center"/>
    </xf>
    <xf numFmtId="0" fontId="11" fillId="2" borderId="6" xfId="0" applyFont="1" applyFill="1" applyBorder="1" applyAlignment="1">
      <alignment vertical="center"/>
    </xf>
    <xf numFmtId="2" fontId="2" fillId="2" borderId="6" xfId="0" applyNumberFormat="1" applyFont="1" applyFill="1" applyBorder="1" applyAlignment="1">
      <alignment horizontal="center"/>
    </xf>
    <xf numFmtId="169" fontId="0" fillId="2" borderId="0" xfId="0" applyNumberFormat="1" applyFill="1" applyBorder="1" applyAlignment="1">
      <alignment horizontal="center" vertical="center"/>
    </xf>
    <xf numFmtId="170" fontId="11" fillId="2" borderId="0" xfId="0" applyNumberFormat="1" applyFont="1" applyFill="1" applyBorder="1" applyAlignment="1">
      <alignment horizontal="center" vertical="center"/>
    </xf>
    <xf numFmtId="0" fontId="29" fillId="2" borderId="4" xfId="0" applyFont="1" applyFill="1" applyBorder="1"/>
    <xf numFmtId="0" fontId="0" fillId="2" borderId="4" xfId="0" applyFont="1" applyFill="1" applyBorder="1" applyAlignment="1">
      <alignment horizontal="right" vertical="center"/>
    </xf>
    <xf numFmtId="0" fontId="36" fillId="2" borderId="4" xfId="0" applyFont="1" applyFill="1" applyBorder="1" applyAlignment="1">
      <alignment vertical="center"/>
    </xf>
    <xf numFmtId="170" fontId="2" fillId="2" borderId="0" xfId="0" applyNumberFormat="1" applyFont="1" applyFill="1" applyBorder="1" applyAlignment="1">
      <alignment horizontal="center"/>
    </xf>
    <xf numFmtId="0" fontId="37" fillId="2" borderId="0" xfId="0" applyNumberFormat="1" applyFont="1" applyFill="1" applyAlignment="1">
      <alignment horizontal="left" readingOrder="1"/>
    </xf>
    <xf numFmtId="0" fontId="11" fillId="2" borderId="0" xfId="0" applyFont="1" applyFill="1"/>
    <xf numFmtId="0" fontId="0" fillId="0" borderId="16" xfId="0" applyBorder="1" applyAlignment="1">
      <alignment vertical="center"/>
    </xf>
    <xf numFmtId="164" fontId="8" fillId="2" borderId="1" xfId="0" applyNumberFormat="1" applyFont="1" applyFill="1" applyBorder="1" applyAlignment="1">
      <alignment horizontal="center" wrapText="1" readingOrder="1"/>
    </xf>
    <xf numFmtId="2" fontId="8" fillId="2" borderId="1" xfId="0" applyNumberFormat="1" applyFont="1" applyFill="1" applyBorder="1" applyAlignment="1">
      <alignment horizontal="center" wrapText="1" readingOrder="1"/>
    </xf>
    <xf numFmtId="2" fontId="9" fillId="2" borderId="1" xfId="0" applyNumberFormat="1" applyFont="1" applyFill="1" applyBorder="1" applyAlignment="1">
      <alignment horizontal="center" wrapText="1" readingOrder="1"/>
    </xf>
    <xf numFmtId="170" fontId="8" fillId="2" borderId="1" xfId="0" applyNumberFormat="1" applyFont="1" applyFill="1" applyBorder="1" applyAlignment="1">
      <alignment horizontal="center" wrapText="1" readingOrder="1"/>
    </xf>
    <xf numFmtId="170" fontId="8" fillId="0" borderId="1" xfId="0" applyNumberFormat="1" applyFont="1" applyFill="1" applyBorder="1" applyAlignment="1">
      <alignment horizontal="center" wrapText="1" readingOrder="1"/>
    </xf>
    <xf numFmtId="170" fontId="9" fillId="2" borderId="1" xfId="0" applyNumberFormat="1" applyFont="1" applyFill="1" applyBorder="1" applyAlignment="1">
      <alignment horizontal="center" wrapText="1" readingOrder="1"/>
    </xf>
    <xf numFmtId="2" fontId="0" fillId="0" borderId="17" xfId="0" applyNumberFormat="1" applyBorder="1" applyAlignment="1">
      <alignment horizontal="center"/>
    </xf>
    <xf numFmtId="170" fontId="2" fillId="2" borderId="0" xfId="0" applyNumberFormat="1" applyFont="1" applyFill="1" applyBorder="1" applyAlignment="1">
      <alignment horizontal="center" vertical="center"/>
    </xf>
    <xf numFmtId="0" fontId="0" fillId="0" borderId="1" xfId="0" applyBorder="1" applyAlignment="1">
      <alignment horizontal="center" vertical="center"/>
    </xf>
    <xf numFmtId="0" fontId="0" fillId="0" borderId="17" xfId="0" applyBorder="1" applyAlignment="1">
      <alignment horizontal="center" vertical="center"/>
    </xf>
    <xf numFmtId="0" fontId="6" fillId="0" borderId="1" xfId="0" applyFont="1" applyBorder="1" applyAlignment="1">
      <alignment horizontal="center" vertical="center"/>
    </xf>
    <xf numFmtId="0" fontId="12" fillId="2" borderId="4" xfId="0" applyFont="1" applyFill="1" applyBorder="1"/>
    <xf numFmtId="2" fontId="0" fillId="2" borderId="11" xfId="0" applyNumberFormat="1" applyFill="1" applyBorder="1"/>
    <xf numFmtId="0" fontId="4" fillId="3" borderId="6" xfId="0" applyFont="1" applyFill="1" applyBorder="1" applyAlignment="1">
      <alignment horizontal="center" vertical="center"/>
    </xf>
    <xf numFmtId="0" fontId="16" fillId="3" borderId="5" xfId="0" applyFont="1" applyFill="1" applyBorder="1" applyAlignment="1">
      <alignment vertical="center"/>
    </xf>
    <xf numFmtId="0" fontId="0" fillId="3" borderId="6" xfId="0" applyFill="1" applyBorder="1"/>
    <xf numFmtId="0" fontId="16" fillId="3" borderId="9" xfId="0" applyFont="1" applyFill="1" applyBorder="1" applyAlignment="1">
      <alignment vertical="center"/>
    </xf>
    <xf numFmtId="0" fontId="0" fillId="3" borderId="10" xfId="0" applyFill="1" applyBorder="1"/>
    <xf numFmtId="0" fontId="2" fillId="0" borderId="0" xfId="0" applyFont="1" applyAlignment="1">
      <alignment horizontal="center"/>
    </xf>
    <xf numFmtId="0" fontId="11" fillId="2" borderId="0" xfId="0" applyFont="1" applyFill="1" applyBorder="1" applyAlignment="1">
      <alignment horizontal="center"/>
    </xf>
    <xf numFmtId="0" fontId="34" fillId="2" borderId="0" xfId="0" applyFont="1" applyFill="1" applyBorder="1" applyAlignment="1"/>
    <xf numFmtId="2" fontId="0" fillId="2" borderId="1" xfId="0" applyNumberFormat="1" applyFill="1" applyBorder="1" applyAlignment="1">
      <alignment horizontal="center" vertical="center"/>
    </xf>
    <xf numFmtId="2" fontId="11" fillId="2" borderId="0" xfId="0" applyNumberFormat="1" applyFont="1" applyFill="1" applyBorder="1" applyAlignment="1"/>
    <xf numFmtId="1" fontId="0" fillId="0" borderId="1" xfId="0" applyNumberFormat="1" applyBorder="1" applyAlignment="1">
      <alignment horizontal="center" vertical="center"/>
    </xf>
    <xf numFmtId="1" fontId="11" fillId="2" borderId="1" xfId="0" applyNumberFormat="1" applyFont="1" applyFill="1" applyBorder="1" applyAlignment="1">
      <alignment horizontal="center" vertical="center"/>
    </xf>
    <xf numFmtId="1" fontId="11" fillId="0" borderId="1" xfId="0" applyNumberFormat="1" applyFont="1" applyBorder="1" applyAlignment="1">
      <alignment horizontal="center" vertical="center"/>
    </xf>
    <xf numFmtId="166" fontId="11" fillId="2" borderId="1" xfId="1" applyNumberFormat="1" applyFont="1" applyFill="1" applyBorder="1" applyAlignment="1">
      <alignment horizontal="center"/>
    </xf>
    <xf numFmtId="0" fontId="13" fillId="2" borderId="0" xfId="0" applyFont="1" applyFill="1" applyBorder="1" applyAlignment="1">
      <alignment vertical="center" wrapText="1"/>
    </xf>
    <xf numFmtId="0" fontId="0" fillId="0" borderId="1" xfId="0" applyBorder="1" applyAlignment="1">
      <alignment horizontal="left" vertical="center"/>
    </xf>
    <xf numFmtId="2" fontId="0" fillId="0" borderId="1" xfId="0" applyNumberFormat="1" applyBorder="1" applyAlignment="1">
      <alignment horizontal="center" vertical="center"/>
    </xf>
    <xf numFmtId="0" fontId="0" fillId="2" borderId="1" xfId="0" applyFill="1" applyBorder="1" applyAlignment="1">
      <alignment horizontal="left" vertical="center"/>
    </xf>
    <xf numFmtId="0" fontId="0" fillId="2" borderId="0" xfId="0" applyFill="1" applyAlignment="1">
      <alignment horizontal="left" vertical="center"/>
    </xf>
    <xf numFmtId="2" fontId="0" fillId="2" borderId="0" xfId="0" applyNumberFormat="1" applyFill="1"/>
    <xf numFmtId="0" fontId="16" fillId="2" borderId="0" xfId="0" applyFont="1" applyFill="1" applyBorder="1" applyAlignment="1">
      <alignment vertical="center"/>
    </xf>
    <xf numFmtId="0" fontId="16" fillId="3" borderId="7" xfId="0" applyFont="1" applyFill="1" applyBorder="1" applyAlignment="1">
      <alignment vertical="center"/>
    </xf>
    <xf numFmtId="0" fontId="16" fillId="3" borderId="11" xfId="0" applyFont="1" applyFill="1" applyBorder="1" applyAlignment="1">
      <alignment vertical="center"/>
    </xf>
    <xf numFmtId="0" fontId="0" fillId="2" borderId="3" xfId="0" applyFill="1" applyBorder="1" applyAlignment="1">
      <alignment horizontal="left" vertical="center"/>
    </xf>
    <xf numFmtId="2" fontId="0" fillId="2" borderId="3" xfId="0" applyNumberFormat="1" applyFill="1" applyBorder="1" applyAlignment="1">
      <alignment horizontal="center" vertical="center"/>
    </xf>
    <xf numFmtId="0" fontId="0" fillId="2" borderId="3" xfId="0" applyFill="1" applyBorder="1" applyAlignment="1">
      <alignment horizontal="center" vertical="center"/>
    </xf>
    <xf numFmtId="0" fontId="0" fillId="0" borderId="1" xfId="0" applyBorder="1"/>
    <xf numFmtId="2" fontId="0" fillId="2" borderId="0" xfId="0" applyNumberFormat="1" applyFill="1" applyAlignment="1">
      <alignment horizontal="center"/>
    </xf>
    <xf numFmtId="0" fontId="2" fillId="3" borderId="1" xfId="0" applyFont="1" applyFill="1" applyBorder="1" applyAlignment="1">
      <alignment horizontal="center" vertical="center"/>
    </xf>
    <xf numFmtId="0" fontId="13" fillId="3" borderId="1" xfId="0" applyFont="1" applyFill="1" applyBorder="1" applyAlignment="1">
      <alignment horizontal="center" vertical="center"/>
    </xf>
    <xf numFmtId="170" fontId="0" fillId="2" borderId="0" xfId="0" applyNumberFormat="1" applyFill="1" applyBorder="1" applyAlignment="1">
      <alignment horizontal="center"/>
    </xf>
    <xf numFmtId="170" fontId="13" fillId="2" borderId="0" xfId="0" applyNumberFormat="1" applyFont="1" applyFill="1" applyBorder="1" applyAlignment="1">
      <alignment horizontal="center"/>
    </xf>
    <xf numFmtId="0" fontId="13" fillId="2" borderId="0" xfId="0" applyFont="1" applyFill="1" applyBorder="1" applyAlignment="1">
      <alignment horizontal="center"/>
    </xf>
    <xf numFmtId="170" fontId="11" fillId="2" borderId="0" xfId="0" applyNumberFormat="1" applyFont="1" applyFill="1" applyBorder="1" applyAlignment="1">
      <alignment horizontal="center"/>
    </xf>
    <xf numFmtId="0" fontId="13" fillId="3" borderId="1" xfId="0" applyFont="1" applyFill="1" applyBorder="1" applyAlignment="1">
      <alignment horizontal="center"/>
    </xf>
    <xf numFmtId="170" fontId="0" fillId="2" borderId="3" xfId="0" applyNumberFormat="1" applyFill="1" applyBorder="1" applyAlignment="1">
      <alignment horizontal="center"/>
    </xf>
    <xf numFmtId="0" fontId="44" fillId="2" borderId="5" xfId="0" applyFont="1" applyFill="1" applyBorder="1"/>
    <xf numFmtId="0" fontId="6" fillId="2" borderId="4" xfId="0" applyFont="1" applyFill="1" applyBorder="1" applyAlignment="1">
      <alignment vertical="center"/>
    </xf>
    <xf numFmtId="0" fontId="0" fillId="2" borderId="8" xfId="0" applyFill="1" applyBorder="1" applyAlignment="1">
      <alignment vertical="center"/>
    </xf>
    <xf numFmtId="0" fontId="0" fillId="0" borderId="0" xfId="0" applyBorder="1" applyAlignment="1">
      <alignment vertical="center"/>
    </xf>
    <xf numFmtId="0" fontId="0" fillId="0" borderId="4" xfId="0" applyNumberFormat="1" applyBorder="1" applyAlignment="1">
      <alignment vertical="center"/>
    </xf>
    <xf numFmtId="0" fontId="43" fillId="2" borderId="0" xfId="0" applyFont="1" applyFill="1" applyBorder="1"/>
    <xf numFmtId="0" fontId="2" fillId="2" borderId="0" xfId="0" applyFont="1" applyFill="1" applyBorder="1" applyAlignment="1">
      <alignment horizontal="left"/>
    </xf>
    <xf numFmtId="0" fontId="0" fillId="2" borderId="0" xfId="0" applyFont="1" applyFill="1" applyBorder="1"/>
    <xf numFmtId="0" fontId="0" fillId="2" borderId="4" xfId="0" applyFill="1" applyBorder="1" applyAlignment="1">
      <alignment horizontal="left"/>
    </xf>
    <xf numFmtId="0" fontId="0" fillId="2" borderId="4" xfId="0" applyFont="1" applyFill="1" applyBorder="1" applyAlignment="1">
      <alignment horizontal="left"/>
    </xf>
    <xf numFmtId="0" fontId="42" fillId="2" borderId="4" xfId="0" applyFont="1" applyFill="1" applyBorder="1"/>
    <xf numFmtId="0" fontId="29" fillId="2" borderId="0" xfId="0" applyFont="1" applyFill="1" applyBorder="1"/>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0" fillId="2" borderId="1" xfId="0" applyFill="1" applyBorder="1" applyAlignment="1">
      <alignment horizont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xf>
    <xf numFmtId="0" fontId="2" fillId="3" borderId="17"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4" fillId="3" borderId="6" xfId="0" applyFont="1" applyFill="1" applyBorder="1" applyAlignment="1">
      <alignment horizontal="center" vertical="center"/>
    </xf>
    <xf numFmtId="0" fontId="11" fillId="2" borderId="0" xfId="0" applyFont="1" applyFill="1" applyBorder="1" applyAlignment="1">
      <alignment horizontal="center" vertical="center"/>
    </xf>
    <xf numFmtId="0" fontId="0" fillId="2" borderId="0" xfId="0" applyFill="1" applyAlignment="1">
      <alignment horizontal="right"/>
    </xf>
    <xf numFmtId="0" fontId="11" fillId="2" borderId="0" xfId="0" applyFont="1" applyFill="1" applyAlignment="1">
      <alignment horizontal="right"/>
    </xf>
    <xf numFmtId="0" fontId="11" fillId="2" borderId="0" xfId="0" applyFont="1" applyFill="1" applyAlignment="1">
      <alignment horizontal="center"/>
    </xf>
    <xf numFmtId="0" fontId="11" fillId="2" borderId="0" xfId="0" applyFont="1" applyFill="1" applyAlignment="1">
      <alignment horizontal="left"/>
    </xf>
    <xf numFmtId="171" fontId="11" fillId="2" borderId="0" xfId="1" applyNumberFormat="1" applyFont="1" applyFill="1"/>
    <xf numFmtId="2" fontId="11" fillId="2" borderId="0" xfId="0" applyNumberFormat="1" applyFont="1" applyFill="1" applyAlignment="1">
      <alignment horizontal="center"/>
    </xf>
    <xf numFmtId="0" fontId="46" fillId="2" borderId="0" xfId="0" applyFont="1" applyFill="1"/>
    <xf numFmtId="0" fontId="11" fillId="0" borderId="1" xfId="0" applyFont="1" applyBorder="1"/>
    <xf numFmtId="3" fontId="11" fillId="0" borderId="1" xfId="0" applyNumberFormat="1" applyFont="1" applyBorder="1" applyAlignment="1">
      <alignment horizontal="center"/>
    </xf>
    <xf numFmtId="2" fontId="11" fillId="0" borderId="1" xfId="0" applyNumberFormat="1" applyFont="1" applyBorder="1" applyAlignment="1">
      <alignment horizontal="center"/>
    </xf>
    <xf numFmtId="2" fontId="13" fillId="3" borderId="1" xfId="0" applyNumberFormat="1" applyFont="1" applyFill="1" applyBorder="1" applyAlignment="1">
      <alignment horizontal="center"/>
    </xf>
    <xf numFmtId="0" fontId="11" fillId="0" borderId="1" xfId="0" applyFont="1" applyBorder="1" applyAlignment="1">
      <alignment vertical="center"/>
    </xf>
    <xf numFmtId="0" fontId="11" fillId="0" borderId="1" xfId="0" applyFont="1" applyBorder="1" applyAlignment="1">
      <alignment vertical="center" wrapText="1"/>
    </xf>
    <xf numFmtId="173" fontId="11" fillId="0" borderId="1" xfId="0" applyNumberFormat="1" applyFont="1" applyBorder="1" applyAlignment="1">
      <alignment horizontal="center" vertical="center"/>
    </xf>
    <xf numFmtId="172" fontId="11" fillId="0" borderId="1" xfId="0" applyNumberFormat="1" applyFont="1" applyBorder="1" applyAlignment="1">
      <alignment horizontal="center" vertical="center"/>
    </xf>
    <xf numFmtId="0" fontId="11" fillId="0" borderId="1" xfId="0" applyFont="1" applyBorder="1" applyAlignment="1">
      <alignment horizontal="center"/>
    </xf>
    <xf numFmtId="0" fontId="11" fillId="0" borderId="1" xfId="0" applyFont="1" applyBorder="1" applyAlignment="1">
      <alignment horizont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1" fillId="0" borderId="0" xfId="0" applyFont="1"/>
    <xf numFmtId="0" fontId="13" fillId="3" borderId="1" xfId="0" applyFont="1" applyFill="1" applyBorder="1" applyAlignment="1">
      <alignment horizontal="center"/>
    </xf>
    <xf numFmtId="0" fontId="11" fillId="2" borderId="4" xfId="0" applyFont="1" applyFill="1" applyBorder="1"/>
    <xf numFmtId="0" fontId="11" fillId="2" borderId="8" xfId="0" applyFont="1" applyFill="1" applyBorder="1"/>
    <xf numFmtId="0" fontId="11" fillId="2" borderId="11" xfId="0" applyFont="1" applyFill="1" applyBorder="1"/>
    <xf numFmtId="0" fontId="22" fillId="2" borderId="0" xfId="0" applyFont="1" applyFill="1"/>
    <xf numFmtId="0" fontId="11" fillId="2" borderId="0" xfId="0" applyFont="1" applyFill="1" applyAlignment="1"/>
    <xf numFmtId="0" fontId="48" fillId="2" borderId="0" xfId="0" applyFont="1" applyFill="1" applyAlignment="1">
      <alignment horizontal="left" indent="4"/>
    </xf>
    <xf numFmtId="0" fontId="11" fillId="2" borderId="4" xfId="0" applyFont="1" applyFill="1" applyBorder="1" applyAlignment="1">
      <alignment horizontal="left"/>
    </xf>
    <xf numFmtId="0" fontId="11" fillId="2" borderId="9" xfId="0" applyFont="1" applyFill="1" applyBorder="1" applyAlignment="1">
      <alignment horizontal="left"/>
    </xf>
    <xf numFmtId="1" fontId="0" fillId="0" borderId="1" xfId="0" applyNumberFormat="1" applyBorder="1" applyAlignment="1">
      <alignment horizontal="center"/>
    </xf>
    <xf numFmtId="0" fontId="13" fillId="3" borderId="16" xfId="0" applyFont="1" applyFill="1" applyBorder="1" applyAlignment="1">
      <alignment horizontal="center" vertical="center"/>
    </xf>
    <xf numFmtId="0" fontId="13" fillId="3" borderId="17" xfId="0" applyFont="1" applyFill="1" applyBorder="1" applyAlignment="1">
      <alignment horizontal="center" vertical="center"/>
    </xf>
    <xf numFmtId="2" fontId="11" fillId="0" borderId="1" xfId="0" applyNumberFormat="1" applyFont="1" applyBorder="1" applyAlignment="1">
      <alignment horizontal="center" vertical="center"/>
    </xf>
    <xf numFmtId="164" fontId="11" fillId="0" borderId="1" xfId="0" applyNumberFormat="1" applyFont="1" applyBorder="1" applyAlignment="1">
      <alignment horizontal="center" vertical="center"/>
    </xf>
    <xf numFmtId="170" fontId="11" fillId="0" borderId="1" xfId="0" applyNumberFormat="1" applyFont="1" applyBorder="1" applyAlignment="1">
      <alignment horizontal="center" vertical="center"/>
    </xf>
    <xf numFmtId="164" fontId="0" fillId="2" borderId="0" xfId="0" applyNumberFormat="1" applyFill="1" applyBorder="1"/>
    <xf numFmtId="0" fontId="11" fillId="0" borderId="1" xfId="0" applyFont="1" applyBorder="1" applyAlignment="1">
      <alignment horizontal="center"/>
    </xf>
    <xf numFmtId="0" fontId="13" fillId="3" borderId="1" xfId="0" applyFont="1" applyFill="1" applyBorder="1" applyAlignment="1">
      <alignment horizontal="center" vertical="center" wrapText="1"/>
    </xf>
    <xf numFmtId="0" fontId="11" fillId="0" borderId="1" xfId="0" applyFont="1" applyBorder="1" applyAlignment="1">
      <alignment horizontal="left" vertical="center"/>
    </xf>
    <xf numFmtId="0" fontId="13" fillId="3" borderId="1" xfId="0" applyFont="1" applyFill="1" applyBorder="1" applyAlignment="1">
      <alignment horizontal="center" vertical="center"/>
    </xf>
    <xf numFmtId="0" fontId="11" fillId="0" borderId="1" xfId="0" applyFont="1" applyBorder="1" applyAlignment="1">
      <alignment horizontal="center" vertical="center"/>
    </xf>
    <xf numFmtId="0" fontId="13" fillId="2" borderId="0" xfId="0" applyFont="1" applyFill="1" applyBorder="1" applyAlignment="1">
      <alignment horizontal="center" vertical="center" wrapText="1"/>
    </xf>
    <xf numFmtId="0" fontId="0" fillId="2" borderId="0" xfId="0" applyFont="1" applyFill="1"/>
    <xf numFmtId="0" fontId="1" fillId="2" borderId="0" xfId="0" applyFont="1" applyFill="1"/>
    <xf numFmtId="170" fontId="11" fillId="2" borderId="3" xfId="0" applyNumberFormat="1" applyFont="1" applyFill="1" applyBorder="1" applyAlignment="1">
      <alignment horizontal="center"/>
    </xf>
    <xf numFmtId="170" fontId="11" fillId="2" borderId="1" xfId="0" applyNumberFormat="1" applyFont="1" applyFill="1" applyBorder="1" applyAlignment="1">
      <alignment horizontal="center"/>
    </xf>
    <xf numFmtId="0" fontId="16" fillId="2" borderId="4" xfId="0" applyFont="1" applyFill="1" applyBorder="1" applyAlignment="1">
      <alignment horizontal="left"/>
    </xf>
    <xf numFmtId="0" fontId="0" fillId="0" borderId="8" xfId="0" applyBorder="1"/>
    <xf numFmtId="9" fontId="11" fillId="0" borderId="1" xfId="1" applyFont="1" applyBorder="1" applyAlignment="1">
      <alignment horizontal="center"/>
    </xf>
    <xf numFmtId="170" fontId="11" fillId="0" borderId="1" xfId="0" applyNumberFormat="1" applyFont="1" applyBorder="1" applyAlignment="1">
      <alignment horizontal="center"/>
    </xf>
    <xf numFmtId="0" fontId="13" fillId="3" borderId="1" xfId="0" applyFont="1" applyFill="1" applyBorder="1" applyAlignment="1">
      <alignment horizontal="center" vertical="center" wrapText="1"/>
    </xf>
    <xf numFmtId="0" fontId="11" fillId="0" borderId="1" xfId="0" applyFont="1" applyBorder="1" applyAlignment="1">
      <alignment horizontal="left" vertical="center"/>
    </xf>
    <xf numFmtId="0" fontId="13" fillId="3" borderId="1" xfId="0" applyFont="1" applyFill="1" applyBorder="1" applyAlignment="1">
      <alignment horizontal="center" vertical="center"/>
    </xf>
    <xf numFmtId="0" fontId="11" fillId="0" borderId="1" xfId="0" applyFont="1" applyBorder="1" applyAlignment="1">
      <alignment horizontal="center" vertical="center"/>
    </xf>
    <xf numFmtId="0" fontId="13" fillId="2" borderId="0" xfId="0" applyFont="1" applyFill="1" applyBorder="1" applyAlignment="1">
      <alignment horizontal="center" vertical="center" wrapText="1"/>
    </xf>
    <xf numFmtId="2" fontId="0" fillId="0" borderId="1" xfId="1" applyNumberFormat="1" applyFont="1" applyBorder="1" applyAlignment="1">
      <alignment horizontal="center"/>
    </xf>
    <xf numFmtId="2" fontId="11" fillId="0" borderId="1" xfId="0" applyNumberFormat="1" applyFont="1" applyFill="1" applyBorder="1" applyAlignment="1">
      <alignment horizontal="center" vertical="center"/>
    </xf>
    <xf numFmtId="2" fontId="11" fillId="2" borderId="0" xfId="0" applyNumberFormat="1" applyFont="1" applyFill="1" applyBorder="1" applyAlignment="1">
      <alignment horizontal="center"/>
    </xf>
    <xf numFmtId="172" fontId="11" fillId="2" borderId="0" xfId="0" applyNumberFormat="1" applyFont="1" applyFill="1" applyBorder="1" applyAlignment="1">
      <alignment horizontal="center" vertical="center"/>
    </xf>
    <xf numFmtId="0" fontId="11" fillId="2" borderId="0" xfId="0" applyFont="1" applyFill="1" applyBorder="1" applyAlignment="1"/>
    <xf numFmtId="170" fontId="11" fillId="2" borderId="0" xfId="0" applyNumberFormat="1" applyFont="1" applyFill="1" applyAlignment="1">
      <alignment horizontal="center"/>
    </xf>
    <xf numFmtId="9" fontId="11" fillId="2" borderId="0" xfId="1" applyFont="1" applyFill="1" applyAlignment="1">
      <alignment horizontal="center"/>
    </xf>
    <xf numFmtId="2" fontId="11" fillId="2" borderId="0" xfId="0" applyNumberFormat="1" applyFont="1" applyFill="1" applyBorder="1" applyAlignment="1">
      <alignment horizontal="left"/>
    </xf>
    <xf numFmtId="9" fontId="0" fillId="2" borderId="0" xfId="1" applyFont="1" applyFill="1" applyAlignment="1">
      <alignment horizontal="center"/>
    </xf>
    <xf numFmtId="9" fontId="11" fillId="0" borderId="1" xfId="1" applyFont="1" applyBorder="1" applyAlignment="1">
      <alignment horizontal="center" vertical="center"/>
    </xf>
    <xf numFmtId="2" fontId="11" fillId="0" borderId="1" xfId="0" applyNumberFormat="1" applyFont="1" applyBorder="1" applyAlignment="1">
      <alignment horizontal="left" vertical="center"/>
    </xf>
    <xf numFmtId="0" fontId="11" fillId="2" borderId="0" xfId="0" applyFont="1" applyFill="1" applyBorder="1" applyAlignment="1">
      <alignment horizontal="left" vertical="center"/>
    </xf>
    <xf numFmtId="0" fontId="13" fillId="3" borderId="1" xfId="0" applyFont="1" applyFill="1" applyBorder="1" applyAlignment="1">
      <alignment horizontal="center"/>
    </xf>
    <xf numFmtId="0" fontId="54" fillId="2" borderId="0" xfId="0" applyFont="1" applyFill="1" applyAlignment="1">
      <alignment horizontal="center" vertical="center"/>
    </xf>
    <xf numFmtId="0" fontId="6" fillId="2" borderId="0" xfId="0" applyFont="1" applyFill="1"/>
    <xf numFmtId="0" fontId="13" fillId="2" borderId="0" xfId="0" applyFont="1" applyFill="1" applyAlignment="1"/>
    <xf numFmtId="172" fontId="0" fillId="0" borderId="1" xfId="0" applyNumberFormat="1" applyBorder="1" applyAlignment="1">
      <alignment horizontal="center"/>
    </xf>
    <xf numFmtId="167" fontId="11" fillId="2" borderId="1" xfId="0" applyNumberFormat="1" applyFont="1" applyFill="1" applyBorder="1" applyAlignment="1">
      <alignment horizontal="center"/>
    </xf>
    <xf numFmtId="172" fontId="11" fillId="2" borderId="1" xfId="0" applyNumberFormat="1" applyFont="1" applyFill="1" applyBorder="1" applyAlignment="1">
      <alignment horizontal="center" vertical="center"/>
    </xf>
    <xf numFmtId="172" fontId="0" fillId="0" borderId="1" xfId="0" applyNumberFormat="1" applyBorder="1" applyAlignment="1">
      <alignment horizontal="center" vertical="center"/>
    </xf>
    <xf numFmtId="2" fontId="13" fillId="2" borderId="0" xfId="0" applyNumberFormat="1" applyFont="1" applyFill="1" applyBorder="1" applyAlignment="1">
      <alignment horizontal="center"/>
    </xf>
    <xf numFmtId="0" fontId="13" fillId="2" borderId="0" xfId="0" applyFont="1" applyFill="1" applyBorder="1" applyAlignment="1">
      <alignment horizontal="center" vertical="center"/>
    </xf>
    <xf numFmtId="9" fontId="11" fillId="2" borderId="0" xfId="1" applyFont="1" applyFill="1" applyBorder="1" applyAlignment="1">
      <alignment horizontal="center" vertical="center"/>
    </xf>
    <xf numFmtId="1" fontId="11" fillId="2" borderId="0" xfId="0" applyNumberFormat="1" applyFont="1" applyFill="1" applyBorder="1" applyAlignment="1">
      <alignment horizontal="center" vertical="center"/>
    </xf>
    <xf numFmtId="2" fontId="11" fillId="2" borderId="0" xfId="0" applyNumberFormat="1" applyFont="1" applyFill="1" applyBorder="1" applyAlignment="1">
      <alignment horizontal="left" vertical="center"/>
    </xf>
    <xf numFmtId="0" fontId="2" fillId="2" borderId="0" xfId="0" applyFont="1" applyFill="1" applyBorder="1" applyAlignment="1"/>
    <xf numFmtId="0" fontId="2" fillId="2" borderId="0" xfId="0" applyFont="1" applyFill="1" applyAlignment="1">
      <alignment horizontal="left"/>
    </xf>
    <xf numFmtId="9" fontId="2" fillId="2" borderId="0" xfId="1" applyFont="1" applyFill="1" applyAlignment="1">
      <alignment horizontal="center"/>
    </xf>
    <xf numFmtId="0" fontId="0" fillId="2" borderId="4" xfId="0" applyNumberFormat="1" applyFill="1" applyBorder="1"/>
    <xf numFmtId="0" fontId="29" fillId="2" borderId="0" xfId="0" applyFont="1" applyFill="1" applyBorder="1" applyAlignment="1">
      <alignment horizontal="left" vertical="center"/>
    </xf>
    <xf numFmtId="0" fontId="6" fillId="0" borderId="0" xfId="0" applyFont="1"/>
    <xf numFmtId="0" fontId="13" fillId="3" borderId="1" xfId="0" applyFont="1" applyFill="1" applyBorder="1" applyAlignment="1">
      <alignment horizontal="center" vertical="center"/>
    </xf>
    <xf numFmtId="0" fontId="2" fillId="3" borderId="16" xfId="0" applyFont="1" applyFill="1" applyBorder="1" applyAlignment="1">
      <alignment horizontal="center" vertical="center"/>
    </xf>
    <xf numFmtId="0" fontId="0" fillId="3" borderId="7" xfId="0" applyFill="1" applyBorder="1"/>
    <xf numFmtId="0" fontId="0" fillId="3" borderId="11" xfId="0" applyFill="1" applyBorder="1"/>
    <xf numFmtId="0" fontId="13" fillId="3" borderId="2" xfId="0" applyFont="1" applyFill="1" applyBorder="1" applyAlignment="1">
      <alignment horizontal="center"/>
    </xf>
    <xf numFmtId="0" fontId="13" fillId="3" borderId="19" xfId="0" applyFont="1" applyFill="1" applyBorder="1" applyAlignment="1">
      <alignment horizontal="center"/>
    </xf>
    <xf numFmtId="0" fontId="13" fillId="3" borderId="3" xfId="0" applyFont="1" applyFill="1" applyBorder="1" applyAlignment="1">
      <alignment horizontal="center"/>
    </xf>
    <xf numFmtId="0" fontId="10" fillId="2" borderId="16" xfId="0" applyFont="1" applyFill="1" applyBorder="1"/>
    <xf numFmtId="0" fontId="11" fillId="2" borderId="18" xfId="0" applyFont="1" applyFill="1" applyBorder="1"/>
    <xf numFmtId="0" fontId="11" fillId="2" borderId="17" xfId="0" applyFont="1" applyFill="1" applyBorder="1"/>
    <xf numFmtId="0" fontId="2" fillId="2" borderId="4" xfId="0" applyFont="1" applyFill="1" applyBorder="1"/>
    <xf numFmtId="0" fontId="0" fillId="0" borderId="6" xfId="0" applyBorder="1"/>
    <xf numFmtId="0" fontId="6" fillId="0" borderId="0" xfId="0" applyFont="1" applyBorder="1"/>
    <xf numFmtId="0" fontId="2" fillId="2" borderId="5" xfId="0" applyFont="1" applyFill="1" applyBorder="1" applyAlignment="1">
      <alignment horizontal="left"/>
    </xf>
    <xf numFmtId="0" fontId="2" fillId="2" borderId="4" xfId="0" applyFont="1" applyFill="1" applyBorder="1" applyAlignment="1">
      <alignment horizontal="left"/>
    </xf>
    <xf numFmtId="9" fontId="2" fillId="2" borderId="0" xfId="1" applyFont="1" applyFill="1" applyBorder="1" applyAlignment="1">
      <alignment horizontal="center"/>
    </xf>
    <xf numFmtId="9" fontId="0" fillId="2" borderId="0" xfId="1" applyFont="1" applyFill="1" applyBorder="1" applyAlignment="1">
      <alignment horizontal="center"/>
    </xf>
    <xf numFmtId="0" fontId="11" fillId="2" borderId="0" xfId="0" applyFont="1" applyFill="1" applyBorder="1" applyAlignment="1">
      <alignment horizontal="left"/>
    </xf>
    <xf numFmtId="0" fontId="11" fillId="2" borderId="0" xfId="0" applyNumberFormat="1" applyFont="1" applyFill="1" applyBorder="1"/>
    <xf numFmtId="0" fontId="41" fillId="2" borderId="6" xfId="0" applyFont="1" applyFill="1" applyBorder="1"/>
    <xf numFmtId="0" fontId="0" fillId="2" borderId="0" xfId="0" applyFill="1" applyBorder="1" applyAlignment="1">
      <alignment vertical="center" wrapText="1"/>
    </xf>
    <xf numFmtId="0" fontId="0" fillId="2" borderId="16" xfId="0" applyFont="1" applyFill="1" applyBorder="1" applyAlignment="1">
      <alignment vertical="center"/>
    </xf>
    <xf numFmtId="0" fontId="11" fillId="2" borderId="0" xfId="0" applyFont="1" applyFill="1" applyAlignment="1">
      <alignment horizontal="center" vertical="center"/>
    </xf>
    <xf numFmtId="0" fontId="10" fillId="2" borderId="0" xfId="0" applyFont="1" applyFill="1" applyBorder="1" applyAlignment="1">
      <alignment horizontal="left"/>
    </xf>
    <xf numFmtId="0" fontId="10" fillId="2" borderId="0" xfId="0" applyFont="1" applyFill="1" applyBorder="1" applyAlignment="1"/>
    <xf numFmtId="0" fontId="10" fillId="2" borderId="0" xfId="0" applyFont="1" applyFill="1"/>
    <xf numFmtId="170" fontId="11" fillId="0" borderId="1" xfId="0" applyNumberFormat="1"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3" fillId="3" borderId="5" xfId="0" applyFont="1" applyFill="1" applyBorder="1" applyAlignment="1">
      <alignment horizontal="center" vertical="center"/>
    </xf>
    <xf numFmtId="0" fontId="13" fillId="3" borderId="16" xfId="0" applyFont="1" applyFill="1" applyBorder="1" applyAlignment="1">
      <alignment horizontal="center"/>
    </xf>
    <xf numFmtId="0" fontId="13" fillId="3" borderId="17" xfId="0" applyFont="1" applyFill="1" applyBorder="1" applyAlignment="1">
      <alignment horizontal="center"/>
    </xf>
    <xf numFmtId="0" fontId="16" fillId="3" borderId="10" xfId="0" applyFont="1" applyFill="1" applyBorder="1" applyAlignment="1">
      <alignment horizontal="center" vertical="center"/>
    </xf>
    <xf numFmtId="0" fontId="13" fillId="3" borderId="16" xfId="0" applyFont="1" applyFill="1" applyBorder="1" applyAlignment="1">
      <alignment horizontal="center" vertical="center"/>
    </xf>
    <xf numFmtId="0" fontId="13" fillId="3" borderId="17"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1" fillId="0" borderId="2" xfId="0" applyFont="1" applyBorder="1" applyAlignment="1">
      <alignment horizontal="center" vertical="center"/>
    </xf>
    <xf numFmtId="0" fontId="13" fillId="3" borderId="16" xfId="0" applyFont="1" applyFill="1" applyBorder="1" applyAlignment="1">
      <alignment horizontal="center" vertical="center"/>
    </xf>
    <xf numFmtId="0" fontId="13" fillId="3" borderId="17" xfId="0" applyFont="1" applyFill="1" applyBorder="1" applyAlignment="1">
      <alignment horizontal="center" vertical="center"/>
    </xf>
    <xf numFmtId="0" fontId="11" fillId="3" borderId="9" xfId="0" applyFont="1" applyFill="1" applyBorder="1" applyAlignment="1">
      <alignment horizontal="left" vertical="center" wrapText="1"/>
    </xf>
    <xf numFmtId="0" fontId="13"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2" fillId="3" borderId="3" xfId="0" applyFont="1" applyFill="1" applyBorder="1" applyAlignment="1">
      <alignment horizontal="center" vertical="center"/>
    </xf>
    <xf numFmtId="0" fontId="2" fillId="3" borderId="18" xfId="0" applyFont="1" applyFill="1" applyBorder="1" applyAlignment="1">
      <alignment horizontal="right" vertical="center"/>
    </xf>
    <xf numFmtId="0" fontId="2" fillId="3" borderId="5" xfId="0" applyFont="1" applyFill="1" applyBorder="1" applyAlignment="1">
      <alignment vertical="center" wrapText="1"/>
    </xf>
    <xf numFmtId="0" fontId="2" fillId="3" borderId="3" xfId="0" applyFont="1" applyFill="1" applyBorder="1" applyAlignment="1">
      <alignment vertical="center" wrapText="1"/>
    </xf>
    <xf numFmtId="0" fontId="2" fillId="3" borderId="17" xfId="0" applyFont="1" applyFill="1" applyBorder="1" applyAlignment="1">
      <alignment vertical="center" wrapText="1"/>
    </xf>
    <xf numFmtId="0" fontId="2" fillId="3" borderId="6" xfId="0" applyFont="1" applyFill="1" applyBorder="1" applyAlignment="1">
      <alignment vertical="center" wrapText="1"/>
    </xf>
    <xf numFmtId="0" fontId="2" fillId="3" borderId="18" xfId="0" applyFont="1" applyFill="1" applyBorder="1" applyAlignment="1">
      <alignment vertical="center" wrapText="1"/>
    </xf>
    <xf numFmtId="0" fontId="2" fillId="3" borderId="16" xfId="0" applyFont="1" applyFill="1" applyBorder="1" applyAlignment="1">
      <alignment vertical="center" wrapText="1"/>
    </xf>
    <xf numFmtId="0" fontId="2" fillId="3" borderId="2" xfId="0" applyFont="1" applyFill="1" applyBorder="1" applyAlignment="1">
      <alignment vertical="center" wrapText="1"/>
    </xf>
    <xf numFmtId="0" fontId="2" fillId="3" borderId="19" xfId="0" applyFont="1" applyFill="1" applyBorder="1" applyAlignment="1">
      <alignment vertical="center" wrapText="1"/>
    </xf>
    <xf numFmtId="0" fontId="2" fillId="3" borderId="7" xfId="0" applyFont="1" applyFill="1" applyBorder="1" applyAlignment="1">
      <alignment vertical="center" wrapText="1"/>
    </xf>
    <xf numFmtId="0" fontId="16" fillId="3" borderId="6" xfId="0" applyFont="1" applyFill="1" applyBorder="1" applyAlignment="1">
      <alignment horizontal="center"/>
    </xf>
    <xf numFmtId="0" fontId="0" fillId="2" borderId="16" xfId="0" applyFill="1" applyBorder="1" applyAlignment="1">
      <alignment vertical="center" wrapText="1"/>
    </xf>
    <xf numFmtId="0" fontId="0" fillId="2" borderId="18" xfId="0" applyFill="1" applyBorder="1" applyAlignment="1">
      <alignment vertical="center" wrapText="1"/>
    </xf>
    <xf numFmtId="0" fontId="0" fillId="2" borderId="17" xfId="0" applyFill="1" applyBorder="1" applyAlignment="1">
      <alignment vertical="center" wrapText="1"/>
    </xf>
    <xf numFmtId="0" fontId="0" fillId="2" borderId="6" xfId="0" applyFill="1" applyBorder="1" applyAlignment="1">
      <alignment vertical="center" wrapText="1"/>
    </xf>
    <xf numFmtId="0" fontId="0" fillId="2" borderId="7" xfId="0" applyFill="1" applyBorder="1" applyAlignment="1">
      <alignment vertical="center" wrapText="1"/>
    </xf>
    <xf numFmtId="0" fontId="0" fillId="2" borderId="5" xfId="0" applyFill="1" applyBorder="1" applyAlignment="1">
      <alignment vertical="center" wrapText="1"/>
    </xf>
    <xf numFmtId="0" fontId="0" fillId="2" borderId="16" xfId="0" applyNumberFormat="1" applyFill="1" applyBorder="1" applyAlignment="1">
      <alignment vertical="center" wrapText="1"/>
    </xf>
    <xf numFmtId="0" fontId="0" fillId="2" borderId="0" xfId="0" applyNumberFormat="1" applyFill="1" applyBorder="1" applyAlignment="1">
      <alignment vertical="center" wrapText="1"/>
    </xf>
    <xf numFmtId="0" fontId="0" fillId="2" borderId="9" xfId="0" applyFill="1" applyBorder="1" applyAlignment="1">
      <alignment vertical="center" wrapText="1"/>
    </xf>
    <xf numFmtId="0" fontId="0" fillId="2" borderId="8" xfId="0" applyNumberFormat="1" applyFill="1" applyBorder="1" applyAlignment="1">
      <alignment vertical="center" wrapText="1"/>
    </xf>
    <xf numFmtId="0" fontId="55" fillId="3" borderId="6" xfId="0" applyFont="1" applyFill="1" applyBorder="1" applyAlignment="1">
      <alignment vertical="center"/>
    </xf>
    <xf numFmtId="0" fontId="55" fillId="3" borderId="10" xfId="0" applyFont="1" applyFill="1" applyBorder="1" applyAlignment="1">
      <alignment vertical="center"/>
    </xf>
    <xf numFmtId="0" fontId="13" fillId="3" borderId="9" xfId="0" applyFont="1" applyFill="1" applyBorder="1" applyAlignment="1">
      <alignment vertical="center"/>
    </xf>
    <xf numFmtId="0" fontId="13" fillId="3" borderId="11" xfId="0" applyFont="1" applyFill="1" applyBorder="1" applyAlignment="1">
      <alignment vertical="center"/>
    </xf>
    <xf numFmtId="0" fontId="13" fillId="3" borderId="2" xfId="0" applyFont="1" applyFill="1" applyBorder="1" applyAlignment="1">
      <alignment horizontal="center" vertical="center"/>
    </xf>
    <xf numFmtId="0" fontId="13" fillId="3" borderId="16" xfId="0" applyFont="1" applyFill="1" applyBorder="1" applyAlignment="1"/>
    <xf numFmtId="0" fontId="13" fillId="3" borderId="17" xfId="0" applyFont="1" applyFill="1" applyBorder="1" applyAlignment="1"/>
    <xf numFmtId="0" fontId="13" fillId="3" borderId="17" xfId="0" applyFont="1" applyFill="1" applyBorder="1" applyAlignment="1">
      <alignment horizontal="left"/>
    </xf>
    <xf numFmtId="0" fontId="11" fillId="0" borderId="2" xfId="0" applyFont="1" applyBorder="1" applyAlignment="1">
      <alignment vertical="center"/>
    </xf>
    <xf numFmtId="0" fontId="11" fillId="0" borderId="3" xfId="0" applyFont="1" applyBorder="1" applyAlignment="1">
      <alignment vertical="center"/>
    </xf>
    <xf numFmtId="0" fontId="11" fillId="0" borderId="2" xfId="0" applyFont="1" applyBorder="1" applyAlignment="1">
      <alignment vertical="center" wrapText="1"/>
    </xf>
    <xf numFmtId="0" fontId="11" fillId="0" borderId="3" xfId="0" applyFont="1" applyBorder="1" applyAlignment="1">
      <alignment vertical="center" wrapText="1"/>
    </xf>
    <xf numFmtId="0" fontId="11" fillId="0" borderId="19" xfId="0" applyFont="1" applyBorder="1" applyAlignment="1">
      <alignment vertical="center"/>
    </xf>
    <xf numFmtId="0" fontId="11" fillId="2" borderId="2" xfId="0" applyFont="1" applyFill="1" applyBorder="1" applyAlignment="1">
      <alignment horizontal="center" vertical="center"/>
    </xf>
    <xf numFmtId="0" fontId="13" fillId="3" borderId="6" xfId="0" applyFont="1" applyFill="1" applyBorder="1" applyAlignment="1">
      <alignment horizontal="left" vertical="center"/>
    </xf>
    <xf numFmtId="0" fontId="2" fillId="3" borderId="1" xfId="0" applyFont="1" applyFill="1" applyBorder="1" applyAlignment="1"/>
    <xf numFmtId="0" fontId="2" fillId="3" borderId="16" xfId="0" applyFont="1" applyFill="1" applyBorder="1" applyAlignment="1"/>
    <xf numFmtId="0" fontId="2" fillId="3" borderId="18" xfId="0" applyFont="1" applyFill="1" applyBorder="1" applyAlignment="1"/>
    <xf numFmtId="0" fontId="2" fillId="3" borderId="17" xfId="0" applyFont="1" applyFill="1" applyBorder="1" applyAlignment="1"/>
    <xf numFmtId="0" fontId="2" fillId="3" borderId="9" xfId="0" applyFont="1" applyFill="1" applyBorder="1" applyAlignment="1">
      <alignment vertical="center"/>
    </xf>
    <xf numFmtId="0" fontId="2" fillId="3" borderId="11" xfId="0" applyFont="1" applyFill="1" applyBorder="1" applyAlignment="1">
      <alignment vertical="center"/>
    </xf>
    <xf numFmtId="0" fontId="2" fillId="3" borderId="6" xfId="0" applyFont="1" applyFill="1" applyBorder="1" applyAlignment="1"/>
    <xf numFmtId="0" fontId="2" fillId="3" borderId="18" xfId="0" applyFont="1" applyFill="1" applyBorder="1" applyAlignment="1">
      <alignment vertical="center"/>
    </xf>
    <xf numFmtId="0" fontId="2" fillId="3" borderId="17" xfId="0" applyFont="1" applyFill="1" applyBorder="1" applyAlignment="1">
      <alignment vertical="center"/>
    </xf>
    <xf numFmtId="0" fontId="2" fillId="3" borderId="7" xfId="0" applyFont="1" applyFill="1" applyBorder="1" applyAlignment="1"/>
    <xf numFmtId="0" fontId="13" fillId="3" borderId="18" xfId="0" applyFont="1" applyFill="1" applyBorder="1" applyAlignment="1">
      <alignment vertical="center" wrapText="1"/>
    </xf>
    <xf numFmtId="0" fontId="13" fillId="3" borderId="17" xfId="0" applyFont="1" applyFill="1" applyBorder="1" applyAlignment="1">
      <alignment vertical="center" wrapText="1"/>
    </xf>
    <xf numFmtId="0" fontId="13" fillId="3" borderId="16" xfId="0" applyFont="1" applyFill="1" applyBorder="1" applyAlignment="1">
      <alignment vertical="center"/>
    </xf>
    <xf numFmtId="0" fontId="13" fillId="3" borderId="18" xfId="0" applyFont="1" applyFill="1" applyBorder="1" applyAlignment="1">
      <alignment vertical="center"/>
    </xf>
    <xf numFmtId="0" fontId="0" fillId="0" borderId="3" xfId="0" applyBorder="1"/>
    <xf numFmtId="0" fontId="13" fillId="3" borderId="17" xfId="0" applyFont="1" applyFill="1" applyBorder="1" applyAlignment="1">
      <alignment vertical="center"/>
    </xf>
    <xf numFmtId="0" fontId="2" fillId="3" borderId="18" xfId="0" applyFont="1" applyFill="1" applyBorder="1" applyAlignment="1">
      <alignment horizontal="left"/>
    </xf>
    <xf numFmtId="0" fontId="2" fillId="3" borderId="17" xfId="0" applyFont="1" applyFill="1" applyBorder="1" applyAlignment="1">
      <alignment horizontal="left"/>
    </xf>
    <xf numFmtId="0" fontId="2" fillId="3" borderId="16" xfId="0" applyFont="1" applyFill="1" applyBorder="1" applyAlignment="1">
      <alignment vertical="center"/>
    </xf>
    <xf numFmtId="0" fontId="2" fillId="3" borderId="3" xfId="0" applyFont="1" applyFill="1" applyBorder="1" applyAlignment="1">
      <alignment horizontal="center"/>
    </xf>
    <xf numFmtId="0" fontId="11" fillId="0" borderId="17" xfId="0" applyFont="1" applyBorder="1" applyAlignment="1">
      <alignment horizontal="center"/>
    </xf>
    <xf numFmtId="0" fontId="0" fillId="0" borderId="2" xfId="0" applyBorder="1"/>
    <xf numFmtId="0" fontId="13" fillId="3" borderId="2" xfId="0" applyFont="1" applyFill="1" applyBorder="1" applyAlignment="1">
      <alignment vertical="center"/>
    </xf>
    <xf numFmtId="0" fontId="13" fillId="3" borderId="3" xfId="0" applyFont="1" applyFill="1" applyBorder="1" applyAlignment="1">
      <alignment vertical="center"/>
    </xf>
    <xf numFmtId="0" fontId="13" fillId="3" borderId="4" xfId="0" applyFont="1" applyFill="1" applyBorder="1" applyAlignment="1">
      <alignment vertical="center"/>
    </xf>
    <xf numFmtId="0" fontId="13" fillId="3" borderId="4" xfId="0" applyFont="1" applyFill="1" applyBorder="1" applyAlignment="1">
      <alignment horizontal="center" vertical="center"/>
    </xf>
    <xf numFmtId="2" fontId="13" fillId="3" borderId="17" xfId="0" applyNumberFormat="1" applyFont="1" applyFill="1" applyBorder="1" applyAlignment="1">
      <alignment horizontal="center" vertical="center"/>
    </xf>
    <xf numFmtId="0" fontId="13" fillId="3" borderId="3" xfId="0" applyFont="1" applyFill="1" applyBorder="1" applyAlignment="1">
      <alignment horizontal="center" vertical="center"/>
    </xf>
    <xf numFmtId="2" fontId="13" fillId="3" borderId="17" xfId="0" applyNumberFormat="1" applyFont="1" applyFill="1" applyBorder="1" applyAlignment="1">
      <alignment horizontal="center"/>
    </xf>
    <xf numFmtId="0" fontId="13" fillId="3" borderId="3" xfId="0" applyFont="1" applyFill="1" applyBorder="1" applyAlignment="1">
      <alignment vertical="center" wrapText="1"/>
    </xf>
    <xf numFmtId="0" fontId="11" fillId="3" borderId="1" xfId="0" applyFont="1" applyFill="1" applyBorder="1" applyAlignment="1"/>
    <xf numFmtId="0" fontId="11" fillId="3" borderId="1" xfId="0" applyFont="1" applyFill="1" applyBorder="1" applyAlignment="1">
      <alignment horizontal="left"/>
    </xf>
    <xf numFmtId="0" fontId="11" fillId="3" borderId="16" xfId="0" applyFont="1" applyFill="1" applyBorder="1" applyAlignment="1"/>
    <xf numFmtId="0" fontId="11" fillId="3" borderId="17" xfId="0" applyFont="1" applyFill="1" applyBorder="1" applyAlignment="1"/>
    <xf numFmtId="2" fontId="11" fillId="0" borderId="2" xfId="0" applyNumberFormat="1" applyFont="1" applyBorder="1" applyAlignment="1">
      <alignment horizontal="center"/>
    </xf>
    <xf numFmtId="2" fontId="11" fillId="0" borderId="3" xfId="0" applyNumberFormat="1" applyFont="1" applyBorder="1" applyAlignment="1">
      <alignment horizontal="center"/>
    </xf>
    <xf numFmtId="0" fontId="11" fillId="3" borderId="18" xfId="0" applyFont="1" applyFill="1" applyBorder="1" applyAlignment="1"/>
    <xf numFmtId="3" fontId="11" fillId="0" borderId="17" xfId="0" applyNumberFormat="1" applyFont="1" applyBorder="1" applyAlignment="1">
      <alignment horizontal="center"/>
    </xf>
    <xf numFmtId="0" fontId="11" fillId="0" borderId="3" xfId="0" applyFont="1" applyBorder="1"/>
    <xf numFmtId="0" fontId="13" fillId="3" borderId="1" xfId="0" applyFont="1" applyFill="1" applyBorder="1" applyAlignment="1"/>
    <xf numFmtId="0" fontId="13" fillId="3" borderId="19" xfId="0" applyFont="1" applyFill="1" applyBorder="1" applyAlignment="1">
      <alignment horizontal="center" vertical="center" wrapText="1"/>
    </xf>
    <xf numFmtId="0" fontId="11" fillId="3" borderId="1" xfId="0" applyFont="1" applyFill="1" applyBorder="1" applyAlignment="1">
      <alignment horizontal="left" indent="1"/>
    </xf>
    <xf numFmtId="2" fontId="11" fillId="0" borderId="11" xfId="0" applyNumberFormat="1" applyFont="1" applyBorder="1" applyAlignment="1">
      <alignment horizontal="center"/>
    </xf>
    <xf numFmtId="2" fontId="11" fillId="0" borderId="17" xfId="0" applyNumberFormat="1" applyFont="1" applyBorder="1" applyAlignment="1">
      <alignment horizontal="center"/>
    </xf>
    <xf numFmtId="0" fontId="11" fillId="3" borderId="5" xfId="0" applyFont="1" applyFill="1" applyBorder="1" applyAlignment="1"/>
    <xf numFmtId="0" fontId="19" fillId="2" borderId="18" xfId="0" applyFont="1" applyFill="1" applyBorder="1" applyAlignment="1"/>
    <xf numFmtId="0" fontId="19" fillId="2" borderId="17" xfId="0" applyFont="1" applyFill="1" applyBorder="1" applyAlignment="1"/>
    <xf numFmtId="0" fontId="14" fillId="3" borderId="9" xfId="0" applyFont="1" applyFill="1" applyBorder="1" applyAlignment="1">
      <alignment vertical="center" wrapText="1"/>
    </xf>
    <xf numFmtId="0" fontId="14" fillId="3" borderId="3" xfId="0" applyFont="1" applyFill="1" applyBorder="1" applyAlignment="1">
      <alignment vertical="center" wrapText="1"/>
    </xf>
    <xf numFmtId="0" fontId="14" fillId="3" borderId="17" xfId="0" applyFont="1" applyFill="1" applyBorder="1" applyAlignment="1">
      <alignment vertical="center"/>
    </xf>
    <xf numFmtId="0" fontId="13"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0" fillId="2" borderId="16" xfId="0" applyFill="1" applyBorder="1" applyAlignment="1">
      <alignment vertical="center"/>
    </xf>
    <xf numFmtId="0" fontId="13" fillId="3" borderId="1" xfId="0" applyFont="1" applyFill="1" applyBorder="1" applyAlignment="1">
      <alignment vertical="center"/>
    </xf>
    <xf numFmtId="0" fontId="11" fillId="0" borderId="3" xfId="0" applyFont="1" applyBorder="1" applyAlignment="1">
      <alignment horizontal="center"/>
    </xf>
    <xf numFmtId="0" fontId="13" fillId="3" borderId="10" xfId="0" applyFont="1" applyFill="1" applyBorder="1" applyAlignment="1">
      <alignment vertical="center"/>
    </xf>
    <xf numFmtId="0" fontId="13" fillId="3" borderId="6" xfId="0" applyFont="1" applyFill="1" applyBorder="1" applyAlignment="1">
      <alignment vertical="center"/>
    </xf>
    <xf numFmtId="0" fontId="13" fillId="3" borderId="5" xfId="0" applyFont="1" applyFill="1" applyBorder="1" applyAlignment="1">
      <alignment vertical="center"/>
    </xf>
    <xf numFmtId="0" fontId="13" fillId="3" borderId="7" xfId="0" applyFont="1" applyFill="1" applyBorder="1" applyAlignment="1">
      <alignment vertical="center"/>
    </xf>
    <xf numFmtId="0" fontId="11" fillId="0" borderId="9" xfId="0" applyFont="1" applyBorder="1" applyAlignment="1"/>
    <xf numFmtId="0" fontId="11" fillId="0" borderId="1" xfId="0" applyFont="1" applyBorder="1" applyAlignment="1"/>
    <xf numFmtId="0" fontId="2" fillId="3" borderId="9" xfId="0" applyFont="1" applyFill="1" applyBorder="1" applyAlignment="1">
      <alignment vertical="center" wrapText="1"/>
    </xf>
    <xf numFmtId="0" fontId="2" fillId="3" borderId="11" xfId="0" applyFont="1" applyFill="1" applyBorder="1" applyAlignment="1">
      <alignment vertical="center" wrapText="1"/>
    </xf>
    <xf numFmtId="0" fontId="13" fillId="3" borderId="0" xfId="0" applyFont="1" applyFill="1" applyBorder="1" applyAlignment="1">
      <alignment vertical="center" wrapText="1"/>
    </xf>
    <xf numFmtId="0" fontId="13" fillId="3" borderId="9" xfId="0" applyFont="1" applyFill="1" applyBorder="1" applyAlignment="1">
      <alignment vertical="center" wrapText="1"/>
    </xf>
    <xf numFmtId="0" fontId="13" fillId="3" borderId="6" xfId="0" applyFont="1" applyFill="1" applyBorder="1" applyAlignment="1">
      <alignment vertical="center" wrapText="1"/>
    </xf>
    <xf numFmtId="0" fontId="13" fillId="3" borderId="7" xfId="0" applyFont="1" applyFill="1" applyBorder="1" applyAlignment="1">
      <alignment vertical="center" wrapText="1"/>
    </xf>
    <xf numFmtId="0" fontId="13" fillId="3" borderId="5" xfId="0" applyFont="1" applyFill="1" applyBorder="1" applyAlignment="1">
      <alignment horizontal="left" vertical="center" indent="2"/>
    </xf>
    <xf numFmtId="0" fontId="13" fillId="3" borderId="11" xfId="0" applyFont="1" applyFill="1" applyBorder="1" applyAlignment="1">
      <alignment vertical="center" wrapText="1"/>
    </xf>
    <xf numFmtId="0" fontId="13" fillId="3" borderId="2" xfId="0" applyFont="1" applyFill="1" applyBorder="1" applyAlignment="1">
      <alignment vertical="center" wrapText="1"/>
    </xf>
    <xf numFmtId="0" fontId="13" fillId="3" borderId="5" xfId="0" applyFont="1" applyFill="1" applyBorder="1" applyAlignment="1">
      <alignment horizontal="left" vertical="center" indent="1"/>
    </xf>
    <xf numFmtId="0" fontId="13" fillId="3" borderId="9" xfId="0" applyFont="1" applyFill="1" applyBorder="1" applyAlignment="1">
      <alignment horizontal="left" vertical="center" wrapText="1" indent="2"/>
    </xf>
    <xf numFmtId="173" fontId="11" fillId="0" borderId="17" xfId="0" applyNumberFormat="1" applyFont="1" applyBorder="1" applyAlignment="1">
      <alignment horizontal="center" vertical="center"/>
    </xf>
    <xf numFmtId="0" fontId="13" fillId="3" borderId="16" xfId="0" applyFont="1" applyFill="1" applyBorder="1" applyAlignment="1">
      <alignment horizontal="left" vertical="center" indent="5"/>
    </xf>
    <xf numFmtId="0" fontId="13" fillId="3" borderId="16" xfId="0" applyFont="1" applyFill="1" applyBorder="1" applyAlignment="1">
      <alignment horizontal="left" vertical="center" indent="7"/>
    </xf>
    <xf numFmtId="0" fontId="11" fillId="3" borderId="9" xfId="0" applyFont="1" applyFill="1" applyBorder="1" applyAlignment="1">
      <alignment vertical="center" wrapText="1"/>
    </xf>
    <xf numFmtId="0" fontId="11" fillId="3" borderId="17" xfId="0" applyFont="1" applyFill="1" applyBorder="1" applyAlignment="1">
      <alignment vertical="center"/>
    </xf>
    <xf numFmtId="2" fontId="11" fillId="0" borderId="2" xfId="0" applyNumberFormat="1" applyFont="1" applyBorder="1" applyAlignment="1">
      <alignment horizontal="center" vertical="center"/>
    </xf>
    <xf numFmtId="2" fontId="11" fillId="0" borderId="3" xfId="0" applyNumberFormat="1" applyFont="1" applyBorder="1" applyAlignment="1">
      <alignment horizontal="center" vertical="center"/>
    </xf>
    <xf numFmtId="0" fontId="11" fillId="3" borderId="18" xfId="0" applyFont="1" applyFill="1" applyBorder="1" applyAlignment="1">
      <alignment vertical="center"/>
    </xf>
    <xf numFmtId="0" fontId="11" fillId="3" borderId="18" xfId="0" applyFont="1" applyFill="1" applyBorder="1" applyAlignment="1">
      <alignment horizontal="left" vertical="center" wrapText="1" indent="1"/>
    </xf>
    <xf numFmtId="0" fontId="11" fillId="0" borderId="16" xfId="0" applyFont="1" applyBorder="1" applyAlignment="1">
      <alignment vertical="center" wrapText="1"/>
    </xf>
    <xf numFmtId="172" fontId="11" fillId="0" borderId="17" xfId="0" applyNumberFormat="1" applyFont="1" applyBorder="1" applyAlignment="1">
      <alignment horizontal="center" vertical="center"/>
    </xf>
    <xf numFmtId="173" fontId="11" fillId="0" borderId="3" xfId="0" applyNumberFormat="1" applyFont="1" applyBorder="1" applyAlignment="1">
      <alignment horizontal="center" vertical="center"/>
    </xf>
    <xf numFmtId="0" fontId="11" fillId="0" borderId="17" xfId="0" applyFont="1" applyBorder="1" applyAlignment="1">
      <alignment vertical="center" wrapText="1"/>
    </xf>
    <xf numFmtId="0" fontId="11" fillId="3" borderId="17" xfId="0" applyFont="1" applyFill="1" applyBorder="1" applyAlignment="1">
      <alignment vertical="center" wrapText="1"/>
    </xf>
    <xf numFmtId="0" fontId="11" fillId="3" borderId="18" xfId="0" applyFont="1" applyFill="1" applyBorder="1" applyAlignment="1">
      <alignment vertical="center" wrapText="1"/>
    </xf>
    <xf numFmtId="0" fontId="13" fillId="3" borderId="16" xfId="0" applyFont="1" applyFill="1" applyBorder="1" applyAlignment="1">
      <alignment horizontal="left" vertical="center" indent="9"/>
    </xf>
    <xf numFmtId="0" fontId="14" fillId="3" borderId="16" xfId="0" applyFont="1" applyFill="1" applyBorder="1" applyAlignment="1">
      <alignment horizontal="left" vertical="center" indent="1"/>
    </xf>
    <xf numFmtId="0" fontId="13" fillId="3" borderId="1" xfId="0" applyFont="1" applyFill="1" applyBorder="1" applyAlignment="1">
      <alignment horizontal="left" vertical="center" indent="4"/>
    </xf>
    <xf numFmtId="0" fontId="13" fillId="3" borderId="1" xfId="0" applyFont="1" applyFill="1" applyBorder="1" applyAlignment="1">
      <alignment horizontal="left" vertical="center" indent="5"/>
    </xf>
    <xf numFmtId="0" fontId="13" fillId="3" borderId="1" xfId="0" applyFont="1" applyFill="1" applyBorder="1" applyAlignment="1">
      <alignment horizontal="left" vertical="center" indent="14"/>
    </xf>
    <xf numFmtId="0" fontId="13" fillId="3" borderId="1" xfId="0" applyFont="1" applyFill="1" applyBorder="1" applyAlignment="1">
      <alignment horizontal="left" vertical="center" indent="20"/>
    </xf>
    <xf numFmtId="0" fontId="13" fillId="3" borderId="1" xfId="0" applyFont="1" applyFill="1" applyBorder="1" applyAlignment="1">
      <alignment horizontal="left" vertical="center" indent="21"/>
    </xf>
    <xf numFmtId="0" fontId="13" fillId="3" borderId="1" xfId="0" applyFont="1" applyFill="1" applyBorder="1" applyAlignment="1">
      <alignment horizontal="left" vertical="center" indent="24"/>
    </xf>
    <xf numFmtId="0" fontId="13" fillId="3" borderId="5" xfId="0" applyFont="1" applyFill="1" applyBorder="1" applyAlignment="1">
      <alignment horizontal="left" vertical="center" indent="3"/>
    </xf>
    <xf numFmtId="0" fontId="13" fillId="3" borderId="5" xfId="0" applyFont="1" applyFill="1" applyBorder="1" applyAlignment="1">
      <alignment horizontal="left" vertical="center" indent="4"/>
    </xf>
    <xf numFmtId="0" fontId="13" fillId="3" borderId="5" xfId="0" applyFont="1" applyFill="1" applyBorder="1" applyAlignment="1">
      <alignment horizontal="left" vertical="center" indent="7"/>
    </xf>
    <xf numFmtId="0" fontId="2" fillId="3" borderId="3" xfId="0" applyFont="1" applyFill="1" applyBorder="1" applyAlignment="1">
      <alignment vertical="center"/>
    </xf>
    <xf numFmtId="0" fontId="13" fillId="3" borderId="16" xfId="0" applyFont="1" applyFill="1" applyBorder="1" applyAlignment="1">
      <alignment horizontal="left" vertical="center" indent="14"/>
    </xf>
    <xf numFmtId="2" fontId="2" fillId="3" borderId="5" xfId="0" applyNumberFormat="1" applyFont="1" applyFill="1" applyBorder="1" applyAlignment="1">
      <alignment horizontal="left" vertical="center"/>
    </xf>
    <xf numFmtId="0" fontId="2" fillId="3" borderId="2" xfId="0" applyFont="1" applyFill="1" applyBorder="1" applyAlignment="1">
      <alignment horizontal="center" vertical="center"/>
    </xf>
    <xf numFmtId="2" fontId="13" fillId="3" borderId="3" xfId="0" applyNumberFormat="1" applyFont="1" applyFill="1" applyBorder="1" applyAlignment="1">
      <alignment horizontal="left" vertical="center" wrapText="1" indent="1"/>
    </xf>
    <xf numFmtId="0" fontId="2" fillId="3" borderId="7" xfId="0" applyFont="1" applyFill="1" applyBorder="1" applyAlignment="1">
      <alignment vertical="center"/>
    </xf>
    <xf numFmtId="2" fontId="2" fillId="3" borderId="5" xfId="0" applyNumberFormat="1" applyFont="1" applyFill="1" applyBorder="1" applyAlignment="1">
      <alignment vertical="center" wrapText="1"/>
    </xf>
    <xf numFmtId="0" fontId="2" fillId="3" borderId="2" xfId="0" applyFont="1" applyFill="1" applyBorder="1" applyAlignment="1">
      <alignment vertical="center"/>
    </xf>
    <xf numFmtId="0" fontId="13" fillId="3" borderId="17" xfId="0" applyFont="1" applyFill="1" applyBorder="1" applyAlignment="1">
      <alignment horizontal="left" vertical="center" indent="10"/>
    </xf>
    <xf numFmtId="0" fontId="13" fillId="3" borderId="17" xfId="0" applyFont="1" applyFill="1" applyBorder="1" applyAlignment="1">
      <alignment horizontal="left" vertical="center" indent="11"/>
    </xf>
    <xf numFmtId="0" fontId="13" fillId="3" borderId="17" xfId="0" applyFont="1" applyFill="1" applyBorder="1" applyAlignment="1">
      <alignment horizontal="left" vertical="center" indent="12"/>
    </xf>
    <xf numFmtId="0" fontId="13" fillId="3" borderId="17" xfId="0" applyFont="1" applyFill="1" applyBorder="1" applyAlignment="1">
      <alignment horizontal="left" vertical="center" indent="14"/>
    </xf>
    <xf numFmtId="0" fontId="13" fillId="3" borderId="18" xfId="0" applyFont="1" applyFill="1" applyBorder="1" applyAlignment="1">
      <alignment horizontal="left" vertical="center" indent="14"/>
    </xf>
    <xf numFmtId="2" fontId="2" fillId="3" borderId="2" xfId="0" applyNumberFormat="1" applyFont="1" applyFill="1" applyBorder="1" applyAlignment="1">
      <alignment vertical="center" wrapText="1"/>
    </xf>
    <xf numFmtId="0" fontId="2" fillId="3" borderId="16" xfId="0" applyFont="1" applyFill="1" applyBorder="1" applyAlignment="1">
      <alignment horizontal="left" vertical="center" indent="4"/>
    </xf>
    <xf numFmtId="0" fontId="2" fillId="3" borderId="16" xfId="0" applyFont="1" applyFill="1" applyBorder="1" applyAlignment="1">
      <alignment horizontal="left" vertical="center" indent="5"/>
    </xf>
    <xf numFmtId="0" fontId="2" fillId="3" borderId="16" xfId="0" applyFont="1" applyFill="1" applyBorder="1" applyAlignment="1">
      <alignment horizontal="left" indent="3"/>
    </xf>
    <xf numFmtId="0" fontId="2" fillId="3" borderId="16" xfId="0" applyFont="1" applyFill="1" applyBorder="1" applyAlignment="1">
      <alignment horizontal="left" indent="4"/>
    </xf>
    <xf numFmtId="0" fontId="2" fillId="3" borderId="16" xfId="0" applyFont="1" applyFill="1" applyBorder="1" applyAlignment="1">
      <alignment horizontal="left" indent="5"/>
    </xf>
    <xf numFmtId="0" fontId="2" fillId="3" borderId="18" xfId="0" applyFont="1" applyFill="1" applyBorder="1" applyAlignment="1">
      <alignment horizontal="left" indent="5"/>
    </xf>
    <xf numFmtId="0" fontId="2" fillId="3" borderId="17" xfId="0" applyFont="1" applyFill="1" applyBorder="1" applyAlignment="1">
      <alignment horizontal="left" indent="5"/>
    </xf>
    <xf numFmtId="0" fontId="2" fillId="3" borderId="16" xfId="0" applyFont="1" applyFill="1" applyBorder="1" applyAlignment="1">
      <alignment horizontal="left" indent="11"/>
    </xf>
    <xf numFmtId="0" fontId="2" fillId="3" borderId="16" xfId="0" applyFont="1" applyFill="1" applyBorder="1" applyAlignment="1">
      <alignment horizontal="left" indent="12"/>
    </xf>
    <xf numFmtId="0" fontId="16" fillId="3" borderId="5" xfId="0" applyFont="1" applyFill="1" applyBorder="1" applyAlignment="1">
      <alignment horizontal="left" vertical="center" indent="12"/>
    </xf>
    <xf numFmtId="0" fontId="16" fillId="3" borderId="5" xfId="0" applyFont="1" applyFill="1" applyBorder="1" applyAlignment="1">
      <alignment horizontal="left" vertical="center" indent="13"/>
    </xf>
    <xf numFmtId="0" fontId="2" fillId="3" borderId="17" xfId="0" applyFont="1" applyFill="1" applyBorder="1" applyAlignment="1">
      <alignment horizontal="left" vertical="center" indent="5"/>
    </xf>
    <xf numFmtId="0" fontId="2" fillId="3" borderId="18" xfId="0" applyFont="1" applyFill="1" applyBorder="1" applyAlignment="1">
      <alignment horizontal="left" vertical="center" indent="9"/>
    </xf>
    <xf numFmtId="0" fontId="0" fillId="0" borderId="18" xfId="0" applyBorder="1" applyAlignment="1">
      <alignment vertical="center"/>
    </xf>
    <xf numFmtId="0" fontId="0" fillId="0" borderId="17" xfId="0" applyBorder="1" applyAlignment="1">
      <alignment vertical="center"/>
    </xf>
    <xf numFmtId="0" fontId="2" fillId="3" borderId="16" xfId="0" applyFont="1" applyFill="1" applyBorder="1" applyAlignment="1">
      <alignment horizontal="left" vertical="center" indent="23"/>
    </xf>
    <xf numFmtId="0" fontId="2" fillId="3" borderId="16" xfId="0" applyFont="1" applyFill="1" applyBorder="1" applyAlignment="1">
      <alignment horizontal="left" vertical="center" wrapText="1" indent="2"/>
    </xf>
    <xf numFmtId="0" fontId="2" fillId="3" borderId="18" xfId="0" applyFont="1" applyFill="1" applyBorder="1" applyAlignment="1">
      <alignment horizontal="left" vertical="center" wrapText="1" indent="2"/>
    </xf>
    <xf numFmtId="0" fontId="14" fillId="3" borderId="5" xfId="0" applyFont="1" applyFill="1" applyBorder="1" applyAlignment="1">
      <alignment horizontal="left" vertical="center" wrapText="1" indent="6"/>
    </xf>
    <xf numFmtId="0" fontId="14" fillId="3" borderId="5" xfId="0" applyFont="1" applyFill="1" applyBorder="1" applyAlignment="1">
      <alignment horizontal="left" vertical="center" wrapText="1" indent="7"/>
    </xf>
    <xf numFmtId="0" fontId="14" fillId="3" borderId="16" xfId="0" applyFont="1" applyFill="1" applyBorder="1" applyAlignment="1">
      <alignment horizontal="left" vertical="center" indent="2"/>
    </xf>
    <xf numFmtId="0" fontId="16" fillId="3" borderId="4" xfId="0" applyFont="1" applyFill="1" applyBorder="1" applyAlignment="1">
      <alignment vertical="center"/>
    </xf>
    <xf numFmtId="0" fontId="16" fillId="3" borderId="8" xfId="0" applyFont="1" applyFill="1" applyBorder="1" applyAlignment="1">
      <alignment vertical="center"/>
    </xf>
    <xf numFmtId="0" fontId="16" fillId="3" borderId="4" xfId="0" applyFont="1" applyFill="1" applyBorder="1" applyAlignment="1">
      <alignment horizontal="left" vertical="center" indent="4"/>
    </xf>
    <xf numFmtId="0" fontId="0" fillId="0" borderId="16" xfId="0" applyBorder="1" applyAlignment="1"/>
    <xf numFmtId="0" fontId="0" fillId="0" borderId="18" xfId="0" applyBorder="1" applyAlignment="1"/>
    <xf numFmtId="0" fontId="0" fillId="0" borderId="17" xfId="0" applyBorder="1" applyAlignment="1"/>
    <xf numFmtId="0" fontId="11" fillId="0" borderId="3" xfId="0" applyFont="1" applyBorder="1" applyAlignment="1">
      <alignment horizontal="center" vertical="center" wrapText="1"/>
    </xf>
    <xf numFmtId="0" fontId="13" fillId="3" borderId="10" xfId="0" applyFont="1" applyFill="1" applyBorder="1" applyAlignment="1">
      <alignment vertical="center" wrapText="1"/>
    </xf>
    <xf numFmtId="0" fontId="13" fillId="3" borderId="19" xfId="0" applyFont="1" applyFill="1" applyBorder="1" applyAlignment="1">
      <alignment horizontal="center" vertical="center" wrapText="1"/>
    </xf>
    <xf numFmtId="0" fontId="13" fillId="3" borderId="9" xfId="0" applyFont="1" applyFill="1" applyBorder="1" applyAlignment="1">
      <alignment horizontal="left" vertical="center" indent="5"/>
    </xf>
    <xf numFmtId="0" fontId="13" fillId="3" borderId="19" xfId="0" applyFont="1" applyFill="1" applyBorder="1" applyAlignment="1">
      <alignment vertical="center" wrapText="1"/>
    </xf>
    <xf numFmtId="2" fontId="13" fillId="3" borderId="2" xfId="0" applyNumberFormat="1" applyFont="1" applyFill="1" applyBorder="1" applyAlignment="1">
      <alignment horizontal="center" vertical="center" wrapText="1"/>
    </xf>
    <xf numFmtId="1" fontId="11" fillId="0" borderId="3" xfId="0" applyNumberFormat="1" applyFont="1" applyBorder="1" applyAlignment="1">
      <alignment horizontal="center" vertical="center"/>
    </xf>
    <xf numFmtId="166" fontId="11" fillId="2" borderId="3" xfId="1" applyNumberFormat="1" applyFont="1" applyFill="1" applyBorder="1" applyAlignment="1">
      <alignment horizontal="center"/>
    </xf>
    <xf numFmtId="2" fontId="13" fillId="3" borderId="9" xfId="0" applyNumberFormat="1" applyFont="1" applyFill="1" applyBorder="1" applyAlignment="1">
      <alignment vertical="center" wrapText="1"/>
    </xf>
    <xf numFmtId="2" fontId="13" fillId="3" borderId="5" xfId="0" applyNumberFormat="1" applyFont="1" applyFill="1" applyBorder="1" applyAlignment="1">
      <alignment horizontal="center" vertical="center" wrapText="1"/>
    </xf>
    <xf numFmtId="2" fontId="2" fillId="3" borderId="3" xfId="0" applyNumberFormat="1" applyFont="1" applyFill="1" applyBorder="1" applyAlignment="1">
      <alignment horizontal="center" vertical="center" wrapText="1"/>
    </xf>
    <xf numFmtId="2" fontId="13" fillId="3" borderId="3" xfId="0" applyNumberFormat="1" applyFont="1" applyFill="1" applyBorder="1" applyAlignment="1">
      <alignment horizontal="center" vertical="center" wrapText="1"/>
    </xf>
    <xf numFmtId="2" fontId="13" fillId="3" borderId="5" xfId="0" applyNumberFormat="1" applyFont="1" applyFill="1" applyBorder="1" applyAlignment="1">
      <alignment vertical="center" wrapText="1"/>
    </xf>
    <xf numFmtId="0" fontId="11" fillId="3" borderId="16" xfId="0" applyFont="1" applyFill="1" applyBorder="1" applyAlignment="1">
      <alignment horizontal="left" vertical="center"/>
    </xf>
    <xf numFmtId="0" fontId="11" fillId="3" borderId="18" xfId="0" applyFont="1" applyFill="1" applyBorder="1" applyAlignment="1">
      <alignment horizontal="left" vertical="center" indent="2"/>
    </xf>
    <xf numFmtId="0" fontId="2" fillId="3" borderId="18" xfId="0" applyFont="1" applyFill="1" applyBorder="1" applyAlignment="1">
      <alignment horizontal="left" vertical="center" indent="5"/>
    </xf>
    <xf numFmtId="0" fontId="2" fillId="3" borderId="18" xfId="0" applyFont="1" applyFill="1" applyBorder="1" applyAlignment="1">
      <alignment horizontal="left" vertical="center" indent="8"/>
    </xf>
    <xf numFmtId="0" fontId="12" fillId="2" borderId="4" xfId="0" applyNumberFormat="1" applyFont="1" applyFill="1" applyBorder="1" applyAlignment="1">
      <alignment horizontal="left" readingOrder="1"/>
    </xf>
    <xf numFmtId="0" fontId="13" fillId="3" borderId="9" xfId="0" applyFont="1" applyFill="1" applyBorder="1" applyAlignment="1">
      <alignment horizontal="center" vertical="center"/>
    </xf>
    <xf numFmtId="0" fontId="13" fillId="3" borderId="17" xfId="0" applyFont="1" applyFill="1" applyBorder="1" applyAlignment="1">
      <alignment horizontal="left" vertical="center" indent="19"/>
    </xf>
    <xf numFmtId="0" fontId="16" fillId="3" borderId="5" xfId="0" applyFont="1" applyFill="1" applyBorder="1" applyAlignment="1">
      <alignment horizontal="left" vertical="center" indent="15"/>
    </xf>
    <xf numFmtId="0" fontId="2" fillId="3" borderId="16" xfId="0" applyFont="1" applyFill="1" applyBorder="1" applyAlignment="1">
      <alignment horizontal="left" vertical="center" indent="24"/>
    </xf>
    <xf numFmtId="0" fontId="13" fillId="3" borderId="9" xfId="0" applyFont="1" applyFill="1" applyBorder="1" applyAlignment="1">
      <alignment horizontal="left" vertical="center" indent="7"/>
    </xf>
    <xf numFmtId="0" fontId="16" fillId="3" borderId="5" xfId="0" applyFont="1" applyFill="1" applyBorder="1" applyAlignment="1">
      <alignment horizontal="left" vertical="center" indent="16"/>
    </xf>
    <xf numFmtId="0" fontId="2" fillId="3" borderId="16" xfId="0" applyFont="1" applyFill="1" applyBorder="1" applyAlignment="1">
      <alignment horizontal="left" vertical="center" wrapText="1"/>
    </xf>
    <xf numFmtId="0" fontId="2" fillId="3" borderId="16" xfId="0" applyFont="1" applyFill="1" applyBorder="1" applyAlignment="1">
      <alignment horizontal="left" vertical="center" indent="21"/>
    </xf>
    <xf numFmtId="0" fontId="2" fillId="3" borderId="16" xfId="0" applyFont="1" applyFill="1" applyBorder="1" applyAlignment="1">
      <alignment horizontal="left" vertical="center" indent="25"/>
    </xf>
    <xf numFmtId="168" fontId="0" fillId="0" borderId="16" xfId="0" applyNumberFormat="1" applyBorder="1" applyAlignment="1">
      <alignment horizontal="center"/>
    </xf>
    <xf numFmtId="0" fontId="0" fillId="0" borderId="2" xfId="0" applyBorder="1" applyAlignment="1">
      <alignment horizontal="center"/>
    </xf>
    <xf numFmtId="2" fontId="0" fillId="0" borderId="2" xfId="0" applyNumberFormat="1" applyBorder="1" applyAlignment="1">
      <alignment horizontal="center"/>
    </xf>
    <xf numFmtId="167" fontId="0" fillId="0" borderId="2" xfId="0" applyNumberFormat="1" applyBorder="1" applyAlignment="1">
      <alignment horizontal="center"/>
    </xf>
    <xf numFmtId="168" fontId="0" fillId="0" borderId="2" xfId="0" applyNumberFormat="1" applyBorder="1" applyAlignment="1">
      <alignment horizontal="center"/>
    </xf>
    <xf numFmtId="0" fontId="13" fillId="3" borderId="0" xfId="0" applyFont="1" applyFill="1" applyBorder="1" applyAlignment="1">
      <alignment vertical="center"/>
    </xf>
    <xf numFmtId="0" fontId="13" fillId="3" borderId="17" xfId="0" applyFont="1" applyFill="1" applyBorder="1" applyAlignment="1">
      <alignment horizontal="left" vertical="center" indent="4"/>
    </xf>
    <xf numFmtId="0" fontId="0" fillId="2" borderId="0" xfId="0" applyFill="1" applyBorder="1" applyAlignment="1">
      <alignment wrapText="1"/>
    </xf>
    <xf numFmtId="0" fontId="13" fillId="3" borderId="9" xfId="0" applyFont="1" applyFill="1" applyBorder="1" applyAlignment="1">
      <alignment horizontal="left" vertical="center" indent="4"/>
    </xf>
    <xf numFmtId="0" fontId="13" fillId="3" borderId="1" xfId="0" applyFont="1" applyFill="1" applyBorder="1" applyAlignment="1">
      <alignment horizontal="left" vertical="center" indent="19"/>
    </xf>
    <xf numFmtId="0" fontId="2" fillId="3" borderId="0" xfId="0" applyFont="1" applyFill="1" applyBorder="1" applyAlignment="1">
      <alignment vertical="center" wrapText="1"/>
    </xf>
    <xf numFmtId="2" fontId="13" fillId="3" borderId="3" xfId="0" applyNumberFormat="1" applyFont="1" applyFill="1" applyBorder="1" applyAlignment="1">
      <alignment vertical="center" wrapText="1"/>
    </xf>
    <xf numFmtId="0" fontId="13" fillId="3" borderId="16" xfId="0" applyFont="1" applyFill="1" applyBorder="1" applyAlignment="1">
      <alignment horizontal="left" vertical="center" indent="3"/>
    </xf>
    <xf numFmtId="0" fontId="13" fillId="3" borderId="9" xfId="0" applyFont="1" applyFill="1" applyBorder="1" applyAlignment="1">
      <alignment horizontal="left" vertical="center" indent="6"/>
    </xf>
    <xf numFmtId="0" fontId="13" fillId="3" borderId="5" xfId="0" applyFont="1" applyFill="1" applyBorder="1" applyAlignment="1">
      <alignment horizontal="left" vertical="center"/>
    </xf>
    <xf numFmtId="0" fontId="13" fillId="3" borderId="19" xfId="0" applyFont="1" applyFill="1" applyBorder="1" applyAlignment="1">
      <alignment horizontal="center" vertical="center"/>
    </xf>
    <xf numFmtId="0" fontId="13" fillId="3" borderId="17" xfId="0" applyFont="1" applyFill="1" applyBorder="1" applyAlignment="1">
      <alignment horizontal="left" vertical="center" indent="21"/>
    </xf>
    <xf numFmtId="0" fontId="13" fillId="0" borderId="0" xfId="0" applyFont="1" applyFill="1" applyBorder="1" applyAlignment="1">
      <alignment horizontal="left" vertical="center" indent="3"/>
    </xf>
    <xf numFmtId="0" fontId="13" fillId="0" borderId="8" xfId="0" applyFont="1" applyFill="1" applyBorder="1" applyAlignment="1">
      <alignment vertical="center" wrapText="1"/>
    </xf>
    <xf numFmtId="0" fontId="13" fillId="0" borderId="0" xfId="0" applyFont="1" applyFill="1" applyBorder="1" applyAlignment="1">
      <alignment vertical="center"/>
    </xf>
    <xf numFmtId="0" fontId="13" fillId="2" borderId="8" xfId="0" applyFont="1" applyFill="1" applyBorder="1" applyAlignment="1">
      <alignment vertical="center" wrapText="1"/>
    </xf>
    <xf numFmtId="0" fontId="13" fillId="2" borderId="19" xfId="0" applyFont="1" applyFill="1" applyBorder="1" applyAlignment="1">
      <alignment vertical="center"/>
    </xf>
    <xf numFmtId="0" fontId="11" fillId="2" borderId="5" xfId="0" applyFont="1" applyFill="1" applyBorder="1" applyAlignment="1"/>
    <xf numFmtId="0" fontId="11" fillId="2" borderId="6" xfId="0" applyFont="1" applyFill="1" applyBorder="1" applyAlignment="1"/>
    <xf numFmtId="0" fontId="11" fillId="2" borderId="7" xfId="0" applyFont="1" applyFill="1" applyBorder="1" applyAlignment="1"/>
    <xf numFmtId="0" fontId="11" fillId="2" borderId="5" xfId="0" applyFont="1" applyFill="1" applyBorder="1" applyAlignment="1">
      <alignment vertical="center" wrapText="1"/>
    </xf>
    <xf numFmtId="0" fontId="11" fillId="2" borderId="19" xfId="0" applyFont="1" applyFill="1" applyBorder="1" applyAlignment="1">
      <alignment vertical="center" wrapText="1"/>
    </xf>
    <xf numFmtId="0" fontId="11" fillId="2" borderId="2" xfId="0" applyFont="1" applyFill="1" applyBorder="1" applyAlignment="1">
      <alignment vertical="center" wrapText="1"/>
    </xf>
    <xf numFmtId="0" fontId="11" fillId="2" borderId="17"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xf>
    <xf numFmtId="0" fontId="11" fillId="2" borderId="3" xfId="0" applyFont="1" applyFill="1" applyBorder="1" applyAlignment="1">
      <alignment vertical="center" wrapText="1"/>
    </xf>
    <xf numFmtId="0" fontId="11" fillId="2" borderId="16" xfId="0" applyFont="1" applyFill="1" applyBorder="1" applyAlignment="1"/>
    <xf numFmtId="0" fontId="11" fillId="2" borderId="17" xfId="0" applyFont="1" applyFill="1" applyBorder="1" applyAlignment="1"/>
    <xf numFmtId="0" fontId="11" fillId="2" borderId="11" xfId="0" applyFont="1" applyFill="1" applyBorder="1" applyAlignment="1"/>
    <xf numFmtId="0" fontId="11" fillId="2" borderId="2" xfId="0" applyFont="1" applyFill="1" applyBorder="1" applyAlignment="1">
      <alignment vertical="center"/>
    </xf>
    <xf numFmtId="0" fontId="11" fillId="2" borderId="3" xfId="0" applyFont="1" applyFill="1" applyBorder="1" applyAlignment="1">
      <alignment vertical="center"/>
    </xf>
    <xf numFmtId="0" fontId="11" fillId="2" borderId="2" xfId="0" applyFont="1" applyFill="1" applyBorder="1" applyAlignment="1"/>
    <xf numFmtId="0" fontId="11" fillId="2" borderId="16" xfId="0" applyFont="1" applyFill="1" applyBorder="1" applyAlignment="1">
      <alignment vertical="center" wrapText="1"/>
    </xf>
    <xf numFmtId="0" fontId="11" fillId="2" borderId="17" xfId="0" applyFont="1" applyFill="1" applyBorder="1" applyAlignment="1">
      <alignment vertical="center" wrapText="1"/>
    </xf>
    <xf numFmtId="0" fontId="11" fillId="2" borderId="19" xfId="0" applyFont="1" applyFill="1" applyBorder="1" applyAlignment="1">
      <alignment vertical="center"/>
    </xf>
    <xf numFmtId="0" fontId="12" fillId="0" borderId="3" xfId="0" applyFont="1" applyBorder="1" applyAlignment="1">
      <alignment vertical="center" wrapText="1"/>
    </xf>
    <xf numFmtId="0" fontId="11" fillId="2" borderId="1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7" xfId="0" applyFont="1" applyFill="1" applyBorder="1" applyAlignment="1">
      <alignment vertical="center"/>
    </xf>
    <xf numFmtId="0" fontId="11" fillId="2" borderId="8" xfId="0" applyFont="1" applyFill="1" applyBorder="1" applyAlignment="1">
      <alignment vertical="center"/>
    </xf>
    <xf numFmtId="0" fontId="11" fillId="2" borderId="4" xfId="0" applyFont="1" applyFill="1" applyBorder="1" applyAlignment="1">
      <alignment vertical="center" wrapText="1"/>
    </xf>
    <xf numFmtId="0" fontId="11" fillId="2" borderId="19"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0" fillId="2" borderId="4" xfId="0" applyFill="1" applyBorder="1" applyAlignment="1">
      <alignment horizontal="left" vertical="center"/>
    </xf>
    <xf numFmtId="0" fontId="0" fillId="2" borderId="4" xfId="0" applyNumberFormat="1" applyFill="1" applyBorder="1" applyAlignment="1">
      <alignment vertical="center"/>
    </xf>
    <xf numFmtId="0" fontId="0" fillId="2" borderId="8" xfId="0" applyFill="1" applyBorder="1" applyAlignment="1">
      <alignment vertical="center" wrapText="1"/>
    </xf>
    <xf numFmtId="0" fontId="0" fillId="2" borderId="16" xfId="0" applyFill="1" applyBorder="1" applyAlignment="1"/>
    <xf numFmtId="0" fontId="0" fillId="2" borderId="17" xfId="0" applyFill="1" applyBorder="1" applyAlignment="1"/>
    <xf numFmtId="0" fontId="0" fillId="2" borderId="18" xfId="0" applyFill="1" applyBorder="1" applyAlignment="1"/>
    <xf numFmtId="0" fontId="2" fillId="3" borderId="4" xfId="0" applyFont="1" applyFill="1" applyBorder="1" applyAlignment="1">
      <alignment vertical="center" wrapText="1"/>
    </xf>
    <xf numFmtId="0" fontId="2" fillId="3" borderId="8" xfId="0" applyFont="1" applyFill="1" applyBorder="1" applyAlignment="1">
      <alignment vertical="center" wrapText="1"/>
    </xf>
    <xf numFmtId="0" fontId="2" fillId="3" borderId="5" xfId="0" applyFont="1" applyFill="1" applyBorder="1" applyAlignment="1">
      <alignment horizontal="left" vertical="center" indent="1"/>
    </xf>
    <xf numFmtId="0" fontId="13" fillId="3" borderId="4" xfId="0" applyFont="1" applyFill="1" applyBorder="1" applyAlignment="1">
      <alignment horizontal="left" vertical="center" wrapText="1" indent="2"/>
    </xf>
    <xf numFmtId="0" fontId="2" fillId="3" borderId="5" xfId="0" applyFont="1" applyFill="1" applyBorder="1" applyAlignment="1">
      <alignment horizontal="left" vertical="center" indent="3"/>
    </xf>
    <xf numFmtId="0" fontId="2" fillId="3" borderId="4" xfId="0" applyFont="1" applyFill="1" applyBorder="1" applyAlignment="1">
      <alignment horizontal="left" vertical="center" indent="3"/>
    </xf>
    <xf numFmtId="0" fontId="11" fillId="2" borderId="2" xfId="0" applyFont="1" applyFill="1" applyBorder="1" applyAlignment="1">
      <alignment horizontal="left" vertical="center" indent="2"/>
    </xf>
    <xf numFmtId="0" fontId="11" fillId="0" borderId="16" xfId="0" applyFont="1" applyBorder="1" applyAlignment="1">
      <alignment horizontal="left" vertical="center" indent="8"/>
    </xf>
    <xf numFmtId="0" fontId="0" fillId="0" borderId="16" xfId="0" applyBorder="1" applyAlignment="1">
      <alignment horizontal="left" indent="8"/>
    </xf>
    <xf numFmtId="2" fontId="11" fillId="0" borderId="17" xfId="0" applyNumberFormat="1" applyFont="1" applyBorder="1" applyAlignment="1">
      <alignment horizontal="center" vertical="center"/>
    </xf>
    <xf numFmtId="0" fontId="11" fillId="3" borderId="8" xfId="0" applyFont="1" applyFill="1" applyBorder="1" applyAlignment="1">
      <alignment vertical="center" wrapText="1"/>
    </xf>
    <xf numFmtId="0" fontId="11" fillId="2" borderId="17" xfId="0" applyFont="1" applyFill="1" applyBorder="1" applyAlignment="1">
      <alignment vertical="center"/>
    </xf>
    <xf numFmtId="0" fontId="11" fillId="0" borderId="16" xfId="0" applyFont="1" applyBorder="1" applyAlignment="1">
      <alignment horizontal="left" vertical="center" indent="9"/>
    </xf>
    <xf numFmtId="0" fontId="11" fillId="2" borderId="11" xfId="0" applyFont="1" applyFill="1" applyBorder="1" applyAlignment="1">
      <alignment vertical="center"/>
    </xf>
    <xf numFmtId="2" fontId="11" fillId="0" borderId="11" xfId="0" applyNumberFormat="1" applyFont="1" applyBorder="1" applyAlignment="1">
      <alignment horizontal="center" vertical="center"/>
    </xf>
    <xf numFmtId="0" fontId="11" fillId="3" borderId="0" xfId="0" applyFont="1" applyFill="1" applyBorder="1" applyAlignment="1">
      <alignment vertical="center" wrapText="1"/>
    </xf>
    <xf numFmtId="0" fontId="0" fillId="0" borderId="16" xfId="0" applyBorder="1" applyAlignment="1">
      <alignment horizontal="left" indent="9"/>
    </xf>
    <xf numFmtId="0" fontId="11" fillId="0" borderId="16" xfId="0" applyFont="1" applyBorder="1" applyAlignment="1">
      <alignment horizontal="left" indent="9"/>
    </xf>
    <xf numFmtId="0" fontId="11" fillId="3" borderId="2" xfId="0" applyFont="1" applyFill="1" applyBorder="1" applyAlignment="1"/>
    <xf numFmtId="0" fontId="11" fillId="0" borderId="16" xfId="0" applyFont="1" applyBorder="1" applyAlignment="1">
      <alignment horizontal="left" indent="10"/>
    </xf>
    <xf numFmtId="0" fontId="13" fillId="3" borderId="10" xfId="0" applyFont="1" applyFill="1" applyBorder="1" applyAlignment="1">
      <alignment horizontal="left" vertical="center" indent="1"/>
    </xf>
    <xf numFmtId="0" fontId="13" fillId="3" borderId="18" xfId="0" applyFont="1" applyFill="1" applyBorder="1" applyAlignment="1">
      <alignment horizontal="left" vertical="center" indent="6"/>
    </xf>
    <xf numFmtId="0" fontId="11" fillId="2" borderId="9" xfId="0" applyFont="1" applyFill="1" applyBorder="1" applyAlignment="1"/>
    <xf numFmtId="0" fontId="11" fillId="2" borderId="10" xfId="0" applyFont="1" applyFill="1" applyBorder="1" applyAlignment="1"/>
    <xf numFmtId="0" fontId="58" fillId="0" borderId="0" xfId="0" applyFont="1" applyAlignment="1">
      <alignment horizontal="left" vertical="center" indent="2"/>
    </xf>
    <xf numFmtId="0" fontId="11" fillId="0" borderId="9" xfId="0" applyFont="1" applyBorder="1" applyAlignment="1">
      <alignment horizontal="center"/>
    </xf>
    <xf numFmtId="0" fontId="11" fillId="0" borderId="16" xfId="0" applyFont="1" applyBorder="1" applyAlignment="1">
      <alignment horizontal="center"/>
    </xf>
    <xf numFmtId="0" fontId="0" fillId="0" borderId="9" xfId="0" applyBorder="1"/>
    <xf numFmtId="0" fontId="0" fillId="0" borderId="16" xfId="0" applyBorder="1"/>
    <xf numFmtId="0" fontId="0" fillId="2" borderId="16" xfId="0" applyFill="1" applyBorder="1"/>
    <xf numFmtId="2" fontId="0" fillId="2" borderId="10" xfId="0" applyNumberFormat="1" applyFill="1" applyBorder="1" applyAlignment="1">
      <alignment horizontal="left"/>
    </xf>
    <xf numFmtId="2" fontId="0" fillId="2" borderId="18" xfId="0" applyNumberFormat="1" applyFill="1" applyBorder="1" applyAlignment="1">
      <alignment horizontal="left"/>
    </xf>
    <xf numFmtId="166" fontId="0" fillId="2" borderId="17" xfId="0" applyNumberFormat="1" applyFill="1" applyBorder="1" applyAlignment="1">
      <alignment horizontal="left" indent="1"/>
    </xf>
    <xf numFmtId="0" fontId="2" fillId="3" borderId="5" xfId="0" applyFont="1" applyFill="1" applyBorder="1" applyAlignment="1">
      <alignment horizontal="left" vertical="center"/>
    </xf>
    <xf numFmtId="0" fontId="16" fillId="3" borderId="4" xfId="0" applyFont="1" applyFill="1" applyBorder="1" applyAlignment="1">
      <alignment horizontal="left" vertical="center" indent="5"/>
    </xf>
    <xf numFmtId="2" fontId="0" fillId="2" borderId="18" xfId="0" applyNumberFormat="1" applyFill="1" applyBorder="1" applyAlignment="1">
      <alignment horizontal="left" vertical="center"/>
    </xf>
    <xf numFmtId="2" fontId="0" fillId="0" borderId="18" xfId="0" applyNumberFormat="1" applyFill="1" applyBorder="1" applyAlignment="1">
      <alignment horizontal="left" vertical="center"/>
    </xf>
    <xf numFmtId="0" fontId="13" fillId="2" borderId="0" xfId="0" applyFont="1" applyFill="1" applyBorder="1" applyAlignment="1">
      <alignment horizontal="left" vertical="center" indent="3"/>
    </xf>
    <xf numFmtId="0" fontId="0" fillId="2" borderId="19" xfId="0" applyFill="1" applyBorder="1"/>
    <xf numFmtId="0" fontId="6" fillId="2" borderId="1" xfId="0" applyFont="1" applyFill="1" applyBorder="1" applyAlignment="1"/>
    <xf numFmtId="0" fontId="6" fillId="2" borderId="1" xfId="0" applyFont="1" applyFill="1" applyBorder="1" applyAlignment="1">
      <alignment vertical="center"/>
    </xf>
    <xf numFmtId="0" fontId="6" fillId="2" borderId="2" xfId="0" applyFont="1" applyFill="1" applyBorder="1" applyAlignment="1">
      <alignment horizontal="left" indent="1"/>
    </xf>
    <xf numFmtId="0" fontId="6" fillId="2" borderId="17" xfId="0" applyFont="1" applyFill="1" applyBorder="1" applyAlignment="1">
      <alignment horizontal="left" vertical="center" indent="1"/>
    </xf>
    <xf numFmtId="0" fontId="6" fillId="2" borderId="3" xfId="0" applyFont="1" applyFill="1" applyBorder="1" applyAlignment="1">
      <alignment horizontal="left" vertical="center" indent="1"/>
    </xf>
    <xf numFmtId="0" fontId="6" fillId="2" borderId="16" xfId="0" applyFont="1" applyFill="1" applyBorder="1" applyAlignment="1">
      <alignment horizontal="left" indent="3"/>
    </xf>
    <xf numFmtId="2" fontId="0" fillId="0" borderId="18" xfId="0" applyNumberFormat="1" applyFill="1" applyBorder="1" applyAlignment="1">
      <alignment horizontal="left"/>
    </xf>
    <xf numFmtId="166" fontId="0" fillId="2" borderId="17" xfId="0" applyNumberFormat="1" applyFill="1" applyBorder="1" applyAlignment="1">
      <alignment horizontal="left" vertical="center" indent="1"/>
    </xf>
    <xf numFmtId="0" fontId="4" fillId="3" borderId="6" xfId="0" applyFont="1" applyFill="1" applyBorder="1" applyAlignment="1">
      <alignment vertical="center"/>
    </xf>
    <xf numFmtId="0" fontId="4" fillId="3" borderId="7" xfId="0" applyFont="1" applyFill="1" applyBorder="1" applyAlignment="1">
      <alignment vertical="center"/>
    </xf>
    <xf numFmtId="0" fontId="0" fillId="3" borderId="0" xfId="0" applyFill="1"/>
    <xf numFmtId="0" fontId="4" fillId="3" borderId="11" xfId="0" applyFont="1" applyFill="1" applyBorder="1" applyAlignment="1">
      <alignment vertical="center"/>
    </xf>
    <xf numFmtId="0" fontId="6" fillId="2" borderId="16" xfId="0" applyFont="1" applyFill="1" applyBorder="1" applyAlignment="1"/>
    <xf numFmtId="166" fontId="0" fillId="2" borderId="17" xfId="0" applyNumberFormat="1" applyFill="1" applyBorder="1" applyAlignment="1">
      <alignment horizontal="left"/>
    </xf>
    <xf numFmtId="0" fontId="4" fillId="3" borderId="10" xfId="0" applyFont="1" applyFill="1" applyBorder="1" applyAlignment="1">
      <alignment horizontal="left" vertical="center" indent="1"/>
    </xf>
    <xf numFmtId="0" fontId="6" fillId="2" borderId="17" xfId="0" applyFont="1" applyFill="1" applyBorder="1" applyAlignment="1">
      <alignment horizontal="left" vertical="center"/>
    </xf>
    <xf numFmtId="0" fontId="4" fillId="3" borderId="6" xfId="0" applyFont="1" applyFill="1" applyBorder="1" applyAlignment="1">
      <alignment horizontal="left" vertical="center"/>
    </xf>
    <xf numFmtId="0" fontId="4" fillId="3" borderId="10" xfId="0" applyFont="1" applyFill="1" applyBorder="1" applyAlignment="1">
      <alignment horizontal="left" vertical="center"/>
    </xf>
    <xf numFmtId="0" fontId="56" fillId="0" borderId="0" xfId="0" applyFont="1"/>
    <xf numFmtId="0" fontId="0" fillId="2" borderId="0" xfId="0" applyFill="1" applyAlignment="1">
      <alignment horizontal="left" indent="6"/>
    </xf>
    <xf numFmtId="0" fontId="56" fillId="0" borderId="0" xfId="0" applyFont="1" applyAlignment="1">
      <alignment horizontal="left" indent="7"/>
    </xf>
    <xf numFmtId="0" fontId="56" fillId="2" borderId="0" xfId="0" applyFont="1" applyFill="1" applyBorder="1"/>
    <xf numFmtId="0" fontId="56" fillId="2" borderId="0" xfId="0" applyFont="1" applyFill="1" applyBorder="1" applyAlignment="1">
      <alignment horizontal="center"/>
    </xf>
    <xf numFmtId="0" fontId="56" fillId="0" borderId="0" xfId="0" applyFont="1" applyAlignment="1">
      <alignment horizontal="center"/>
    </xf>
    <xf numFmtId="0" fontId="25" fillId="4" borderId="12" xfId="0" applyFont="1" applyFill="1" applyBorder="1" applyAlignment="1">
      <alignment horizontal="center" vertical="center" wrapText="1"/>
    </xf>
    <xf numFmtId="0" fontId="25" fillId="4" borderId="13" xfId="0" applyFont="1" applyFill="1" applyBorder="1" applyAlignment="1">
      <alignment horizontal="center" vertical="center" wrapText="1"/>
    </xf>
    <xf numFmtId="0" fontId="24" fillId="0" borderId="0" xfId="0" applyFont="1" applyFill="1" applyBorder="1" applyAlignment="1">
      <alignment vertical="center"/>
    </xf>
  </cellXfs>
  <cellStyles count="2">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3.png"/><Relationship Id="rId4"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5.emf"/><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6.png"/><Relationship Id="rId4" Type="http://schemas.openxmlformats.org/officeDocument/2006/relationships/image" Target="../media/image4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5.emf"/><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6.png"/><Relationship Id="rId4" Type="http://schemas.openxmlformats.org/officeDocument/2006/relationships/image" Target="../media/image4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5.emf"/><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6.png"/><Relationship Id="rId4" Type="http://schemas.openxmlformats.org/officeDocument/2006/relationships/image" Target="../media/image4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5.emf"/><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43.png"/><Relationship Id="rId4" Type="http://schemas.openxmlformats.org/officeDocument/2006/relationships/image" Target="../media/image50.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0.png"/><Relationship Id="rId7" Type="http://schemas.openxmlformats.org/officeDocument/2006/relationships/image" Target="../media/image45.emf"/><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4.png"/><Relationship Id="rId7"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7.png"/><Relationship Id="rId9"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4.png"/><Relationship Id="rId7" Type="http://schemas.openxmlformats.org/officeDocument/2006/relationships/image" Target="../media/image27.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15.png"/><Relationship Id="rId16" Type="http://schemas.openxmlformats.org/officeDocument/2006/relationships/image" Target="../media/image34.png"/><Relationship Id="rId1" Type="http://schemas.openxmlformats.org/officeDocument/2006/relationships/image" Target="../media/image14.png"/><Relationship Id="rId6" Type="http://schemas.openxmlformats.org/officeDocument/2006/relationships/image" Target="../media/image26.png"/><Relationship Id="rId11" Type="http://schemas.openxmlformats.org/officeDocument/2006/relationships/image" Target="../media/image29.png"/><Relationship Id="rId5" Type="http://schemas.openxmlformats.org/officeDocument/2006/relationships/image" Target="../media/image25.png"/><Relationship Id="rId15" Type="http://schemas.openxmlformats.org/officeDocument/2006/relationships/image" Target="../media/image33.png"/><Relationship Id="rId10" Type="http://schemas.openxmlformats.org/officeDocument/2006/relationships/image" Target="../media/image1.png"/><Relationship Id="rId4" Type="http://schemas.openxmlformats.org/officeDocument/2006/relationships/image" Target="../media/image17.png"/><Relationship Id="rId9" Type="http://schemas.openxmlformats.org/officeDocument/2006/relationships/image" Target="../media/image2.png"/><Relationship Id="rId14" Type="http://schemas.openxmlformats.org/officeDocument/2006/relationships/image" Target="../media/image3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38.png"/></Relationships>
</file>

<file path=xl/drawings/_rels/drawing9.xml.rels><?xml version="1.0" encoding="UTF-8" standalone="yes"?>
<Relationships xmlns="http://schemas.openxmlformats.org/package/2006/relationships"><Relationship Id="rId3" Type="http://schemas.openxmlformats.org/officeDocument/2006/relationships/image" Target="../media/image40.png"/><Relationship Id="rId7" Type="http://schemas.openxmlformats.org/officeDocument/2006/relationships/image" Target="../media/image42.png"/><Relationship Id="rId2" Type="http://schemas.openxmlformats.org/officeDocument/2006/relationships/image" Target="../media/image39.png"/><Relationship Id="rId1" Type="http://schemas.openxmlformats.org/officeDocument/2006/relationships/image" Target="../media/image16.png"/><Relationship Id="rId6"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7</xdr:col>
      <xdr:colOff>390525</xdr:colOff>
      <xdr:row>0</xdr:row>
      <xdr:rowOff>168077</xdr:rowOff>
    </xdr:from>
    <xdr:to>
      <xdr:col>9</xdr:col>
      <xdr:colOff>88899</xdr:colOff>
      <xdr:row>4</xdr:row>
      <xdr:rowOff>12699</xdr:rowOff>
    </xdr:to>
    <xdr:pic>
      <xdr:nvPicPr>
        <xdr:cNvPr id="2" name="Picture 1" descr="ricardo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68077"/>
          <a:ext cx="952499" cy="603447"/>
        </a:xfrm>
        <a:prstGeom prst="rect">
          <a:avLst/>
        </a:prstGeom>
        <a:noFill/>
        <a:ln w="1">
          <a:noFill/>
          <a:miter lim="800000"/>
          <a:headEnd/>
          <a:tailEnd type="none" w="med" len="med"/>
        </a:ln>
        <a:effectLst/>
      </xdr:spPr>
    </xdr:pic>
    <xdr:clientData/>
  </xdr:twoCellAnchor>
  <xdr:twoCellAnchor editAs="oneCell">
    <xdr:from>
      <xdr:col>1</xdr:col>
      <xdr:colOff>19050</xdr:colOff>
      <xdr:row>0</xdr:row>
      <xdr:rowOff>175115</xdr:rowOff>
    </xdr:from>
    <xdr:to>
      <xdr:col>2</xdr:col>
      <xdr:colOff>1493308</xdr:colOff>
      <xdr:row>4</xdr:row>
      <xdr:rowOff>6350</xdr:rowOff>
    </xdr:to>
    <xdr:pic>
      <xdr:nvPicPr>
        <xdr:cNvPr id="3" name="Picture 2" descr="U.S. Department of Transportation/Federal Railroad Administration 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8650" y="175115"/>
          <a:ext cx="3695700" cy="596410"/>
        </a:xfrm>
        <a:prstGeom prst="rect">
          <a:avLst/>
        </a:prstGeom>
        <a:noFill/>
        <a:ln w="1">
          <a:noFill/>
          <a:miter lim="800000"/>
          <a:headEnd/>
          <a:tailEnd type="none" w="med" len="med"/>
        </a:ln>
        <a:effectLst/>
      </xdr:spPr>
    </xdr:pic>
    <xdr:clientData/>
  </xdr:twoCellAnchor>
  <xdr:twoCellAnchor editAs="oneCell">
    <xdr:from>
      <xdr:col>2</xdr:col>
      <xdr:colOff>2189581</xdr:colOff>
      <xdr:row>0</xdr:row>
      <xdr:rowOff>168364</xdr:rowOff>
    </xdr:from>
    <xdr:to>
      <xdr:col>2</xdr:col>
      <xdr:colOff>5036608</xdr:colOff>
      <xdr:row>4</xdr:row>
      <xdr:rowOff>95250</xdr:rowOff>
    </xdr:to>
    <xdr:pic>
      <xdr:nvPicPr>
        <xdr:cNvPr id="4" name="Picture 3" descr="Acelo train">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951831" y="168364"/>
          <a:ext cx="2843852" cy="688886"/>
        </a:xfrm>
        <a:prstGeom prst="rect">
          <a:avLst/>
        </a:prstGeom>
        <a:noFill/>
        <a:ln w="1">
          <a:noFill/>
          <a:miter lim="800000"/>
          <a:headEnd/>
          <a:tailEnd type="none" w="med" len="med"/>
        </a:ln>
        <a:effectLst/>
      </xdr:spPr>
    </xdr:pic>
    <xdr:clientData/>
  </xdr:twoCellAnchor>
  <xdr:twoCellAnchor>
    <xdr:from>
      <xdr:col>2</xdr:col>
      <xdr:colOff>4022724</xdr:colOff>
      <xdr:row>2</xdr:row>
      <xdr:rowOff>176741</xdr:rowOff>
    </xdr:from>
    <xdr:to>
      <xdr:col>2</xdr:col>
      <xdr:colOff>5021791</xdr:colOff>
      <xdr:row>3</xdr:row>
      <xdr:rowOff>167216</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784974" y="748241"/>
          <a:ext cx="999067"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500">
              <a:latin typeface="Calibri"/>
            </a:rPr>
            <a:t>© AMTRAK</a:t>
          </a:r>
          <a:endParaRPr lang="en-US" sz="500"/>
        </a:p>
      </xdr:txBody>
    </xdr:sp>
    <xdr:clientData/>
  </xdr:twoCellAnchor>
  <xdr:twoCellAnchor editAs="oneCell">
    <xdr:from>
      <xdr:col>1</xdr:col>
      <xdr:colOff>846667</xdr:colOff>
      <xdr:row>35</xdr:row>
      <xdr:rowOff>74083</xdr:rowOff>
    </xdr:from>
    <xdr:to>
      <xdr:col>7</xdr:col>
      <xdr:colOff>525991</xdr:colOff>
      <xdr:row>71</xdr:row>
      <xdr:rowOff>105833</xdr:rowOff>
    </xdr:to>
    <xdr:pic>
      <xdr:nvPicPr>
        <xdr:cNvPr id="3073" name="Picture 1" descr="assemble library of passby noise data for high speed train sets">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60500" y="7281333"/>
          <a:ext cx="10202333" cy="6886575"/>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447675</xdr:colOff>
      <xdr:row>10</xdr:row>
      <xdr:rowOff>55214</xdr:rowOff>
    </xdr:from>
    <xdr:to>
      <xdr:col>5</xdr:col>
      <xdr:colOff>1638300</xdr:colOff>
      <xdr:row>20</xdr:row>
      <xdr:rowOff>85724</xdr:rowOff>
    </xdr:to>
    <xdr:pic>
      <xdr:nvPicPr>
        <xdr:cNvPr id="3073" name="Picture 1" descr="thalys pbka2">
          <a:extLst>
            <a:ext uri="{FF2B5EF4-FFF2-40B4-BE49-F238E27FC236}">
              <a16:creationId xmlns:a16="http://schemas.microsoft.com/office/drawing/2014/main" id="{00000000-0008-0000-0900-00000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7275" y="1960214"/>
          <a:ext cx="3629025" cy="1945035"/>
        </a:xfrm>
        <a:prstGeom prst="rect">
          <a:avLst/>
        </a:prstGeom>
        <a:noFill/>
        <a:ln w="1">
          <a:noFill/>
          <a:miter lim="800000"/>
          <a:headEnd/>
          <a:tailEnd type="none" w="med" len="med"/>
        </a:ln>
        <a:effectLst/>
      </xdr:spPr>
    </xdr:pic>
    <xdr:clientData/>
  </xdr:twoCellAnchor>
  <xdr:twoCellAnchor>
    <xdr:from>
      <xdr:col>4</xdr:col>
      <xdr:colOff>333377</xdr:colOff>
      <xdr:row>18</xdr:row>
      <xdr:rowOff>142875</xdr:rowOff>
    </xdr:from>
    <xdr:to>
      <xdr:col>5</xdr:col>
      <xdr:colOff>685801</xdr:colOff>
      <xdr:row>20</xdr:row>
      <xdr:rowOff>38100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771777" y="3581400"/>
          <a:ext cx="962024"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Thalys PBKA</a:t>
          </a:r>
          <a:r>
            <a:rPr lang="en-US" sz="1100" baseline="30000"/>
            <a:t>2</a:t>
          </a:r>
          <a:endParaRPr lang="en-US" sz="1100"/>
        </a:p>
      </xdr:txBody>
    </xdr:sp>
    <xdr:clientData/>
  </xdr:twoCellAnchor>
  <xdr:twoCellAnchor editAs="oneCell">
    <xdr:from>
      <xdr:col>2</xdr:col>
      <xdr:colOff>19050</xdr:colOff>
      <xdr:row>0</xdr:row>
      <xdr:rowOff>175115</xdr:rowOff>
    </xdr:from>
    <xdr:to>
      <xdr:col>6</xdr:col>
      <xdr:colOff>544589</xdr:colOff>
      <xdr:row>4</xdr:row>
      <xdr:rowOff>9525</xdr:rowOff>
    </xdr:to>
    <xdr:pic>
      <xdr:nvPicPr>
        <xdr:cNvPr id="4" name="Picture 3" descr="us department of transportation/federal railroad administration logo">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0" y="175115"/>
          <a:ext cx="4335539" cy="596410"/>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188117</xdr:colOff>
      <xdr:row>4</xdr:row>
      <xdr:rowOff>2102</xdr:rowOff>
    </xdr:to>
    <xdr:pic>
      <xdr:nvPicPr>
        <xdr:cNvPr id="5" name="Picture 4" descr="ricardo logo">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439775" y="152400"/>
          <a:ext cx="826292" cy="595827"/>
        </a:xfrm>
        <a:prstGeom prst="rect">
          <a:avLst/>
        </a:prstGeom>
        <a:noFill/>
        <a:ln w="1">
          <a:noFill/>
          <a:miter lim="800000"/>
          <a:headEnd/>
          <a:tailEnd type="none" w="med" len="med"/>
        </a:ln>
        <a:effectLst/>
      </xdr:spPr>
    </xdr:pic>
    <xdr:clientData/>
  </xdr:twoCellAnchor>
  <xdr:twoCellAnchor>
    <xdr:from>
      <xdr:col>5</xdr:col>
      <xdr:colOff>190501</xdr:colOff>
      <xdr:row>37</xdr:row>
      <xdr:rowOff>158751</xdr:rowOff>
    </xdr:from>
    <xdr:to>
      <xdr:col>6</xdr:col>
      <xdr:colOff>190501</xdr:colOff>
      <xdr:row>39</xdr:row>
      <xdr:rowOff>42335</xdr:rowOff>
    </xdr:to>
    <xdr:sp macro="" textlink="">
      <xdr:nvSpPr>
        <xdr:cNvPr id="8" name="TextBox 7" descr="Train Nose Passes Microphone&#10;">
          <a:extLst>
            <a:ext uri="{FF2B5EF4-FFF2-40B4-BE49-F238E27FC236}">
              <a16:creationId xmlns:a16="http://schemas.microsoft.com/office/drawing/2014/main" id="{00000000-0008-0000-0900-000008000000}"/>
            </a:ext>
          </a:extLst>
        </xdr:cNvPr>
        <xdr:cNvSpPr txBox="1"/>
      </xdr:nvSpPr>
      <xdr:spPr>
        <a:xfrm>
          <a:off x="3252108" y="7561037"/>
          <a:ext cx="1986643"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38</xdr:row>
      <xdr:rowOff>95250</xdr:rowOff>
    </xdr:from>
    <xdr:to>
      <xdr:col>5</xdr:col>
      <xdr:colOff>211668</xdr:colOff>
      <xdr:row>38</xdr:row>
      <xdr:rowOff>95250</xdr:rowOff>
    </xdr:to>
    <xdr:cxnSp macro="">
      <xdr:nvCxnSpPr>
        <xdr:cNvPr id="9" name="Straight Arrow Connector 8" descr="arrow">
          <a:extLst>
            <a:ext uri="{FF2B5EF4-FFF2-40B4-BE49-F238E27FC236}">
              <a16:creationId xmlns:a16="http://schemas.microsoft.com/office/drawing/2014/main" id="{00000000-0008-0000-0900-000009000000}"/>
            </a:ext>
          </a:extLst>
        </xdr:cNvPr>
        <xdr:cNvCxnSpPr/>
      </xdr:nvCxnSpPr>
      <xdr:spPr>
        <a:xfrm flipH="1" flipV="1">
          <a:off x="3072191" y="7688036"/>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10583</xdr:colOff>
      <xdr:row>53</xdr:row>
      <xdr:rowOff>92226</xdr:rowOff>
    </xdr:from>
    <xdr:to>
      <xdr:col>5</xdr:col>
      <xdr:colOff>211667</xdr:colOff>
      <xdr:row>53</xdr:row>
      <xdr:rowOff>92226</xdr:rowOff>
    </xdr:to>
    <xdr:cxnSp macro="">
      <xdr:nvCxnSpPr>
        <xdr:cNvPr id="10" name="Straight Arrow Connector 9" descr="arrow">
          <a:extLst>
            <a:ext uri="{FF2B5EF4-FFF2-40B4-BE49-F238E27FC236}">
              <a16:creationId xmlns:a16="http://schemas.microsoft.com/office/drawing/2014/main" id="{00000000-0008-0000-0900-00000A000000}"/>
            </a:ext>
          </a:extLst>
        </xdr:cNvPr>
        <xdr:cNvCxnSpPr/>
      </xdr:nvCxnSpPr>
      <xdr:spPr>
        <a:xfrm flipH="1" flipV="1">
          <a:off x="3072190" y="10542512"/>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610507</xdr:colOff>
      <xdr:row>73</xdr:row>
      <xdr:rowOff>75293</xdr:rowOff>
    </xdr:from>
    <xdr:to>
      <xdr:col>5</xdr:col>
      <xdr:colOff>199270</xdr:colOff>
      <xdr:row>73</xdr:row>
      <xdr:rowOff>75293</xdr:rowOff>
    </xdr:to>
    <xdr:cxnSp macro="">
      <xdr:nvCxnSpPr>
        <xdr:cNvPr id="11" name="Straight Arrow Connector 10" descr="arrow">
          <a:extLst>
            <a:ext uri="{FF2B5EF4-FFF2-40B4-BE49-F238E27FC236}">
              <a16:creationId xmlns:a16="http://schemas.microsoft.com/office/drawing/2014/main" id="{00000000-0008-0000-0900-00000B000000}"/>
            </a:ext>
          </a:extLst>
        </xdr:cNvPr>
        <xdr:cNvCxnSpPr/>
      </xdr:nvCxnSpPr>
      <xdr:spPr>
        <a:xfrm flipH="1" flipV="1">
          <a:off x="3059793" y="14335579"/>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303</xdr:colOff>
      <xdr:row>91</xdr:row>
      <xdr:rowOff>89505</xdr:rowOff>
    </xdr:from>
    <xdr:to>
      <xdr:col>5</xdr:col>
      <xdr:colOff>201387</xdr:colOff>
      <xdr:row>91</xdr:row>
      <xdr:rowOff>89505</xdr:rowOff>
    </xdr:to>
    <xdr:cxnSp macro="">
      <xdr:nvCxnSpPr>
        <xdr:cNvPr id="14" name="Straight Arrow Connector 13" descr="arrow">
          <a:extLst>
            <a:ext uri="{FF2B5EF4-FFF2-40B4-BE49-F238E27FC236}">
              <a16:creationId xmlns:a16="http://schemas.microsoft.com/office/drawing/2014/main" id="{00000000-0008-0000-0900-00000E000000}"/>
            </a:ext>
          </a:extLst>
        </xdr:cNvPr>
        <xdr:cNvCxnSpPr/>
      </xdr:nvCxnSpPr>
      <xdr:spPr>
        <a:xfrm flipH="1" flipV="1">
          <a:off x="3061910" y="17778791"/>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169333</xdr:colOff>
      <xdr:row>52</xdr:row>
      <xdr:rowOff>155726</xdr:rowOff>
    </xdr:from>
    <xdr:to>
      <xdr:col>6</xdr:col>
      <xdr:colOff>295275</xdr:colOff>
      <xdr:row>54</xdr:row>
      <xdr:rowOff>39310</xdr:rowOff>
    </xdr:to>
    <xdr:sp macro="" textlink="">
      <xdr:nvSpPr>
        <xdr:cNvPr id="15" name="TextBox 14" descr="Start Time for LpASmax Calculation&#10;">
          <a:extLst>
            <a:ext uri="{FF2B5EF4-FFF2-40B4-BE49-F238E27FC236}">
              <a16:creationId xmlns:a16="http://schemas.microsoft.com/office/drawing/2014/main" id="{00000000-0008-0000-0900-00000F000000}"/>
            </a:ext>
          </a:extLst>
        </xdr:cNvPr>
        <xdr:cNvSpPr txBox="1"/>
      </xdr:nvSpPr>
      <xdr:spPr>
        <a:xfrm>
          <a:off x="3230940" y="10415512"/>
          <a:ext cx="2112585"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Start Time for L</a:t>
          </a:r>
          <a:r>
            <a:rPr lang="en-US" sz="1100" baseline="-25000">
              <a:solidFill>
                <a:sysClr val="windowText" lastClr="000000"/>
              </a:solidFill>
            </a:rPr>
            <a:t>pASmax</a:t>
          </a:r>
          <a:r>
            <a:rPr lang="en-US" sz="1100" baseline="0">
              <a:solidFill>
                <a:sysClr val="windowText" lastClr="000000"/>
              </a:solidFill>
            </a:rPr>
            <a:t> Calculation</a:t>
          </a:r>
          <a:endParaRPr lang="en-US" sz="1100">
            <a:solidFill>
              <a:sysClr val="windowText" lastClr="000000"/>
            </a:solidFill>
          </a:endParaRPr>
        </a:p>
      </xdr:txBody>
    </xdr:sp>
    <xdr:clientData/>
  </xdr:twoCellAnchor>
  <xdr:twoCellAnchor>
    <xdr:from>
      <xdr:col>5</xdr:col>
      <xdr:colOff>216203</xdr:colOff>
      <xdr:row>72</xdr:row>
      <xdr:rowOff>155726</xdr:rowOff>
    </xdr:from>
    <xdr:to>
      <xdr:col>6</xdr:col>
      <xdr:colOff>861786</xdr:colOff>
      <xdr:row>73</xdr:row>
      <xdr:rowOff>176893</xdr:rowOff>
    </xdr:to>
    <xdr:sp macro="" textlink="">
      <xdr:nvSpPr>
        <xdr:cNvPr id="16" name="TextBox 15" descr="End Time for LpASmax Calculation&#10;">
          <a:extLst>
            <a:ext uri="{FF2B5EF4-FFF2-40B4-BE49-F238E27FC236}">
              <a16:creationId xmlns:a16="http://schemas.microsoft.com/office/drawing/2014/main" id="{00000000-0008-0000-0900-000010000000}"/>
            </a:ext>
          </a:extLst>
        </xdr:cNvPr>
        <xdr:cNvSpPr txBox="1"/>
      </xdr:nvSpPr>
      <xdr:spPr>
        <a:xfrm>
          <a:off x="3277810" y="14225512"/>
          <a:ext cx="2632226" cy="211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End Time for L</a:t>
          </a:r>
          <a:r>
            <a:rPr lang="en-US" sz="1100" baseline="-25000"/>
            <a:t>pASmax</a:t>
          </a:r>
          <a:r>
            <a:rPr lang="en-US" sz="1100" baseline="0"/>
            <a:t> Calculation</a:t>
          </a:r>
        </a:p>
      </xdr:txBody>
    </xdr:sp>
    <xdr:clientData/>
  </xdr:twoCellAnchor>
  <xdr:twoCellAnchor>
    <xdr:from>
      <xdr:col>5</xdr:col>
      <xdr:colOff>226787</xdr:colOff>
      <xdr:row>90</xdr:row>
      <xdr:rowOff>72571</xdr:rowOff>
    </xdr:from>
    <xdr:to>
      <xdr:col>6</xdr:col>
      <xdr:colOff>226787</xdr:colOff>
      <xdr:row>92</xdr:row>
      <xdr:rowOff>167821</xdr:rowOff>
    </xdr:to>
    <xdr:sp macro="" textlink="">
      <xdr:nvSpPr>
        <xdr:cNvPr id="17" name="TextBox 16" descr="10 dB(A) lower than SPL when Train Tail Passes Microphone&#10;">
          <a:extLst>
            <a:ext uri="{FF2B5EF4-FFF2-40B4-BE49-F238E27FC236}">
              <a16:creationId xmlns:a16="http://schemas.microsoft.com/office/drawing/2014/main" id="{00000000-0008-0000-0900-000011000000}"/>
            </a:ext>
          </a:extLst>
        </xdr:cNvPr>
        <xdr:cNvSpPr txBox="1"/>
      </xdr:nvSpPr>
      <xdr:spPr>
        <a:xfrm>
          <a:off x="3288394" y="17571357"/>
          <a:ext cx="198664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xdr:from>
      <xdr:col>5</xdr:col>
      <xdr:colOff>211667</xdr:colOff>
      <xdr:row>34</xdr:row>
      <xdr:rowOff>43846</xdr:rowOff>
    </xdr:from>
    <xdr:to>
      <xdr:col>6</xdr:col>
      <xdr:colOff>211667</xdr:colOff>
      <xdr:row>36</xdr:row>
      <xdr:rowOff>149679</xdr:rowOff>
    </xdr:to>
    <xdr:sp macro="" textlink="">
      <xdr:nvSpPr>
        <xdr:cNvPr id="23" name="TextBox 22" descr="10 dB(A) lower than SPL when Train Nose Passes Microphone&#10;">
          <a:extLst>
            <a:ext uri="{FF2B5EF4-FFF2-40B4-BE49-F238E27FC236}">
              <a16:creationId xmlns:a16="http://schemas.microsoft.com/office/drawing/2014/main" id="{00000000-0008-0000-0900-000017000000}"/>
            </a:ext>
          </a:extLst>
        </xdr:cNvPr>
        <xdr:cNvSpPr txBox="1"/>
      </xdr:nvSpPr>
      <xdr:spPr>
        <a:xfrm>
          <a:off x="3273274" y="6874632"/>
          <a:ext cx="1986643" cy="486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10583</xdr:colOff>
      <xdr:row>35</xdr:row>
      <xdr:rowOff>86179</xdr:rowOff>
    </xdr:from>
    <xdr:to>
      <xdr:col>5</xdr:col>
      <xdr:colOff>211667</xdr:colOff>
      <xdr:row>35</xdr:row>
      <xdr:rowOff>86179</xdr:rowOff>
    </xdr:to>
    <xdr:cxnSp macro="">
      <xdr:nvCxnSpPr>
        <xdr:cNvPr id="24" name="Straight Arrow Connector 23" descr="arrow">
          <a:extLst>
            <a:ext uri="{FF2B5EF4-FFF2-40B4-BE49-F238E27FC236}">
              <a16:creationId xmlns:a16="http://schemas.microsoft.com/office/drawing/2014/main" id="{00000000-0008-0000-0900-000018000000}"/>
            </a:ext>
          </a:extLst>
        </xdr:cNvPr>
        <xdr:cNvCxnSpPr>
          <a:stCxn id="23" idx="1"/>
        </xdr:cNvCxnSpPr>
      </xdr:nvCxnSpPr>
      <xdr:spPr>
        <a:xfrm flipH="1" flipV="1">
          <a:off x="3072190" y="710746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8164</xdr:colOff>
      <xdr:row>86</xdr:row>
      <xdr:rowOff>84970</xdr:rowOff>
    </xdr:from>
    <xdr:to>
      <xdr:col>5</xdr:col>
      <xdr:colOff>209248</xdr:colOff>
      <xdr:row>86</xdr:row>
      <xdr:rowOff>84970</xdr:rowOff>
    </xdr:to>
    <xdr:cxnSp macro="">
      <xdr:nvCxnSpPr>
        <xdr:cNvPr id="25" name="Straight Arrow Connector 24" descr="arrow">
          <a:extLst>
            <a:ext uri="{FF2B5EF4-FFF2-40B4-BE49-F238E27FC236}">
              <a16:creationId xmlns:a16="http://schemas.microsoft.com/office/drawing/2014/main" id="{00000000-0008-0000-0900-000019000000}"/>
            </a:ext>
          </a:extLst>
        </xdr:cNvPr>
        <xdr:cNvCxnSpPr/>
      </xdr:nvCxnSpPr>
      <xdr:spPr>
        <a:xfrm flipH="1" flipV="1">
          <a:off x="3056164" y="1681087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234648</xdr:colOff>
      <xdr:row>85</xdr:row>
      <xdr:rowOff>136071</xdr:rowOff>
    </xdr:from>
    <xdr:to>
      <xdr:col>6</xdr:col>
      <xdr:colOff>234648</xdr:colOff>
      <xdr:row>87</xdr:row>
      <xdr:rowOff>27213</xdr:rowOff>
    </xdr:to>
    <xdr:sp macro="" textlink="">
      <xdr:nvSpPr>
        <xdr:cNvPr id="26" name="TextBox 25" descr="Train Tail Passes Microphone&#10;">
          <a:extLst>
            <a:ext uri="{FF2B5EF4-FFF2-40B4-BE49-F238E27FC236}">
              <a16:creationId xmlns:a16="http://schemas.microsoft.com/office/drawing/2014/main" id="{00000000-0008-0000-0900-00001A000000}"/>
            </a:ext>
          </a:extLst>
        </xdr:cNvPr>
        <xdr:cNvSpPr txBox="1"/>
      </xdr:nvSpPr>
      <xdr:spPr>
        <a:xfrm>
          <a:off x="3282648" y="16671471"/>
          <a:ext cx="1981200" cy="27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Tail Passes Microphone</a:t>
          </a:r>
          <a:endParaRPr lang="en-US" sz="1100"/>
        </a:p>
      </xdr:txBody>
    </xdr:sp>
    <xdr:clientData/>
  </xdr:twoCellAnchor>
  <xdr:twoCellAnchor>
    <xdr:from>
      <xdr:col>5</xdr:col>
      <xdr:colOff>13607</xdr:colOff>
      <xdr:row>63</xdr:row>
      <xdr:rowOff>98577</xdr:rowOff>
    </xdr:from>
    <xdr:to>
      <xdr:col>5</xdr:col>
      <xdr:colOff>214691</xdr:colOff>
      <xdr:row>63</xdr:row>
      <xdr:rowOff>98577</xdr:rowOff>
    </xdr:to>
    <xdr:cxnSp macro="">
      <xdr:nvCxnSpPr>
        <xdr:cNvPr id="27" name="Straight Arrow Connector 26" descr="arrow">
          <a:extLst>
            <a:ext uri="{FF2B5EF4-FFF2-40B4-BE49-F238E27FC236}">
              <a16:creationId xmlns:a16="http://schemas.microsoft.com/office/drawing/2014/main" id="{00000000-0008-0000-0900-00001B000000}"/>
            </a:ext>
          </a:extLst>
        </xdr:cNvPr>
        <xdr:cNvCxnSpPr/>
      </xdr:nvCxnSpPr>
      <xdr:spPr>
        <a:xfrm flipH="1" flipV="1">
          <a:off x="3075214" y="1245386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240091</xdr:colOff>
      <xdr:row>62</xdr:row>
      <xdr:rowOff>149677</xdr:rowOff>
    </xdr:from>
    <xdr:to>
      <xdr:col>6</xdr:col>
      <xdr:colOff>503464</xdr:colOff>
      <xdr:row>64</xdr:row>
      <xdr:rowOff>68034</xdr:rowOff>
    </xdr:to>
    <xdr:sp macro="" textlink="">
      <xdr:nvSpPr>
        <xdr:cNvPr id="28" name="TextBox 27" descr="Maximum Sound Pressure Level&#10;">
          <a:extLst>
            <a:ext uri="{FF2B5EF4-FFF2-40B4-BE49-F238E27FC236}">
              <a16:creationId xmlns:a16="http://schemas.microsoft.com/office/drawing/2014/main" id="{00000000-0008-0000-0900-00001C000000}"/>
            </a:ext>
          </a:extLst>
        </xdr:cNvPr>
        <xdr:cNvSpPr txBox="1"/>
      </xdr:nvSpPr>
      <xdr:spPr>
        <a:xfrm>
          <a:off x="3301698" y="12314463"/>
          <a:ext cx="2250016" cy="299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Maximum Sound Pressure Level</a:t>
          </a:r>
          <a:endParaRPr lang="en-US" sz="1100"/>
        </a:p>
      </xdr:txBody>
    </xdr:sp>
    <xdr:clientData/>
  </xdr:twoCellAnchor>
  <xdr:twoCellAnchor editAs="oneCell">
    <xdr:from>
      <xdr:col>6</xdr:col>
      <xdr:colOff>920751</xdr:colOff>
      <xdr:row>30</xdr:row>
      <xdr:rowOff>142874</xdr:rowOff>
    </xdr:from>
    <xdr:to>
      <xdr:col>14</xdr:col>
      <xdr:colOff>191347</xdr:colOff>
      <xdr:row>65</xdr:row>
      <xdr:rowOff>76200</xdr:rowOff>
    </xdr:to>
    <xdr:pic>
      <xdr:nvPicPr>
        <xdr:cNvPr id="2" name="Picture 1" descr="Plot of Pass-by Noise Data, Including Key Time Parameters">
          <a:extLst>
            <a:ext uri="{FF2B5EF4-FFF2-40B4-BE49-F238E27FC236}">
              <a16:creationId xmlns:a16="http://schemas.microsoft.com/office/drawing/2014/main" id="{721AB4A9-9542-41AE-A880-784A6CC25315}"/>
            </a:ext>
          </a:extLst>
        </xdr:cNvPr>
        <xdr:cNvPicPr>
          <a:picLocks noChangeAspect="1"/>
        </xdr:cNvPicPr>
      </xdr:nvPicPr>
      <xdr:blipFill>
        <a:blip xmlns:r="http://schemas.openxmlformats.org/officeDocument/2006/relationships" r:embed="rId4"/>
        <a:stretch>
          <a:fillRect/>
        </a:stretch>
      </xdr:blipFill>
      <xdr:spPr>
        <a:xfrm>
          <a:off x="6188076" y="5981699"/>
          <a:ext cx="8747971" cy="66008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425450</xdr:colOff>
      <xdr:row>28</xdr:row>
      <xdr:rowOff>198967</xdr:rowOff>
    </xdr:to>
    <xdr:pic>
      <xdr:nvPicPr>
        <xdr:cNvPr id="2" name="Picture 1" descr="LpAeq,Tp is the A-weighted equivalent continuous sound pressure level produced by the train as measured during the pass-by event">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rcRect/>
        <a:stretch>
          <a:fillRect/>
        </a:stretch>
      </xdr:blipFill>
      <xdr:spPr bwMode="auto">
        <a:xfrm>
          <a:off x="1219200" y="5105400"/>
          <a:ext cx="3819525" cy="833967"/>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3" name="Picture 1" descr="LpAeq,Tp can be calculated from the passby data using the following relationship">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6442596"/>
          <a:ext cx="3169407" cy="864137"/>
        </a:xfrm>
        <a:prstGeom prst="rect">
          <a:avLst/>
        </a:prstGeom>
        <a:noFill/>
        <a:ln w="1">
          <a:noFill/>
          <a:miter lim="800000"/>
          <a:headEnd/>
          <a:tailEnd type="none" w="med" len="med"/>
        </a:ln>
        <a:effectLst/>
      </xdr:spPr>
    </xdr:pic>
    <xdr:clientData/>
  </xdr:twoCellAnchor>
  <xdr:twoCellAnchor editAs="oneCell">
    <xdr:from>
      <xdr:col>10</xdr:col>
      <xdr:colOff>419100</xdr:colOff>
      <xdr:row>60</xdr:row>
      <xdr:rowOff>38100</xdr:rowOff>
    </xdr:from>
    <xdr:to>
      <xdr:col>11</xdr:col>
      <xdr:colOff>828386</xdr:colOff>
      <xdr:row>63</xdr:row>
      <xdr:rowOff>28228</xdr:rowOff>
    </xdr:to>
    <xdr:pic>
      <xdr:nvPicPr>
        <xdr:cNvPr id="4" name="Picture 3" descr="Data Point Number for Start of Pass-by Event (time at which train nose passes microphon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0972800"/>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62</xdr:row>
      <xdr:rowOff>123825</xdr:rowOff>
    </xdr:from>
    <xdr:to>
      <xdr:col>4</xdr:col>
      <xdr:colOff>430742</xdr:colOff>
      <xdr:row>66</xdr:row>
      <xdr:rowOff>67733</xdr:rowOff>
    </xdr:to>
    <xdr:pic>
      <xdr:nvPicPr>
        <xdr:cNvPr id="5" name="Picture 9" descr="Data Point Number for End of Pass-by Event (time at which train tail passes microphone)">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1439525"/>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541414</xdr:colOff>
      <xdr:row>5</xdr:row>
      <xdr:rowOff>6350</xdr:rowOff>
    </xdr:to>
    <xdr:pic>
      <xdr:nvPicPr>
        <xdr:cNvPr id="6" name="Picture 5" descr="us department of transportation/federal railroad administration logo">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6375" y="365615"/>
          <a:ext cx="3678314"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477042</xdr:colOff>
      <xdr:row>4</xdr:row>
      <xdr:rowOff>165086</xdr:rowOff>
    </xdr:to>
    <xdr:pic>
      <xdr:nvPicPr>
        <xdr:cNvPr id="7" name="Picture 6" descr="ricardo logo">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1925" y="328084"/>
          <a:ext cx="829467" cy="595827"/>
        </a:xfrm>
        <a:prstGeom prst="rect">
          <a:avLst/>
        </a:prstGeom>
        <a:noFill/>
        <a:ln w="1">
          <a:noFill/>
          <a:miter lim="800000"/>
          <a:headEnd/>
          <a:tailEnd type="none" w="med" len="med"/>
        </a:ln>
        <a:effectLst/>
      </xdr:spPr>
    </xdr:pic>
    <xdr:clientData/>
  </xdr:twoCellAnchor>
  <xdr:twoCellAnchor editAs="oneCell">
    <xdr:from>
      <xdr:col>10</xdr:col>
      <xdr:colOff>419100</xdr:colOff>
      <xdr:row>102</xdr:row>
      <xdr:rowOff>38100</xdr:rowOff>
    </xdr:from>
    <xdr:to>
      <xdr:col>11</xdr:col>
      <xdr:colOff>828386</xdr:colOff>
      <xdr:row>104</xdr:row>
      <xdr:rowOff>173220</xdr:rowOff>
    </xdr:to>
    <xdr:pic>
      <xdr:nvPicPr>
        <xdr:cNvPr id="8" name="Picture 7" descr="Data Point Number for Start of Pass-by Event (time passby SPLs begin being recorded)">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9307175"/>
          <a:ext cx="1228725" cy="554220"/>
        </a:xfrm>
        <a:prstGeom prst="rect">
          <a:avLst/>
        </a:prstGeom>
        <a:noFill/>
        <a:ln w="1">
          <a:noFill/>
          <a:miter lim="800000"/>
          <a:headEnd/>
          <a:tailEnd type="none" w="med" len="med"/>
        </a:ln>
        <a:effectLst/>
      </xdr:spPr>
    </xdr:pic>
    <xdr:clientData/>
  </xdr:twoCellAnchor>
  <xdr:twoCellAnchor editAs="oneCell">
    <xdr:from>
      <xdr:col>1</xdr:col>
      <xdr:colOff>807508</xdr:colOff>
      <xdr:row>104</xdr:row>
      <xdr:rowOff>123824</xdr:rowOff>
    </xdr:from>
    <xdr:to>
      <xdr:col>4</xdr:col>
      <xdr:colOff>600075</xdr:colOff>
      <xdr:row>108</xdr:row>
      <xdr:rowOff>31747</xdr:rowOff>
    </xdr:to>
    <xdr:pic>
      <xdr:nvPicPr>
        <xdr:cNvPr id="9" name="Picture 9" descr="Data Point Number for End of Pass-by Event (time passby SPLs end being recorded)">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17108" y="19811999"/>
          <a:ext cx="2113492" cy="704849"/>
        </a:xfrm>
        <a:prstGeom prst="rect">
          <a:avLst/>
        </a:prstGeom>
        <a:noFill/>
        <a:ln w="1">
          <a:noFill/>
          <a:miter lim="800000"/>
          <a:headEnd/>
          <a:tailEnd type="none" w="med" len="med"/>
        </a:ln>
        <a:effectLst/>
      </xdr:spPr>
    </xdr:pic>
    <xdr:clientData/>
  </xdr:twoCellAnchor>
  <xdr:twoCellAnchor editAs="oneCell">
    <xdr:from>
      <xdr:col>15</xdr:col>
      <xdr:colOff>0</xdr:colOff>
      <xdr:row>143</xdr:row>
      <xdr:rowOff>0</xdr:rowOff>
    </xdr:from>
    <xdr:to>
      <xdr:col>20</xdr:col>
      <xdr:colOff>711200</xdr:colOff>
      <xdr:row>155</xdr:row>
      <xdr:rowOff>83705</xdr:rowOff>
    </xdr:to>
    <xdr:pic>
      <xdr:nvPicPr>
        <xdr:cNvPr id="1047" name="Picture 23" descr="Ricardo calculated the K factor values for 12 pass-by noise data sets">
          <a:extLst>
            <a:ext uri="{FF2B5EF4-FFF2-40B4-BE49-F238E27FC236}">
              <a16:creationId xmlns:a16="http://schemas.microsoft.com/office/drawing/2014/main" id="{00000000-0008-0000-0A00-000017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753850" y="29146500"/>
          <a:ext cx="4581525" cy="275272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333375</xdr:colOff>
      <xdr:row>10</xdr:row>
      <xdr:rowOff>20986</xdr:rowOff>
    </xdr:from>
    <xdr:to>
      <xdr:col>5</xdr:col>
      <xdr:colOff>1625600</xdr:colOff>
      <xdr:row>20</xdr:row>
      <xdr:rowOff>149734</xdr:rowOff>
    </xdr:to>
    <xdr:pic>
      <xdr:nvPicPr>
        <xdr:cNvPr id="5121" name="Picture 1" descr="china crh3 series train2">
          <a:extLst>
            <a:ext uri="{FF2B5EF4-FFF2-40B4-BE49-F238E27FC236}">
              <a16:creationId xmlns:a16="http://schemas.microsoft.com/office/drawing/2014/main" id="{00000000-0008-0000-0B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2975" y="1925986"/>
          <a:ext cx="3733800" cy="2043273"/>
        </a:xfrm>
        <a:prstGeom prst="rect">
          <a:avLst/>
        </a:prstGeom>
        <a:noFill/>
        <a:ln w="1">
          <a:noFill/>
          <a:miter lim="800000"/>
          <a:headEnd/>
          <a:tailEnd type="none" w="med" len="med"/>
        </a:ln>
        <a:effectLst/>
      </xdr:spPr>
    </xdr:pic>
    <xdr:clientData/>
  </xdr:twoCellAnchor>
  <xdr:twoCellAnchor>
    <xdr:from>
      <xdr:col>4</xdr:col>
      <xdr:colOff>266701</xdr:colOff>
      <xdr:row>18</xdr:row>
      <xdr:rowOff>142875</xdr:rowOff>
    </xdr:from>
    <xdr:to>
      <xdr:col>5</xdr:col>
      <xdr:colOff>1257301</xdr:colOff>
      <xdr:row>20</xdr:row>
      <xdr:rowOff>38100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705101" y="3581400"/>
          <a:ext cx="16002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China CRH3 Series Train</a:t>
          </a:r>
          <a:r>
            <a:rPr lang="en-US" sz="1100" baseline="30000"/>
            <a:t>2</a:t>
          </a:r>
          <a:endParaRPr lang="en-US" sz="1100"/>
        </a:p>
      </xdr:txBody>
    </xdr:sp>
    <xdr:clientData/>
  </xdr:twoCellAnchor>
  <xdr:twoCellAnchor editAs="oneCell">
    <xdr:from>
      <xdr:col>2</xdr:col>
      <xdr:colOff>19050</xdr:colOff>
      <xdr:row>0</xdr:row>
      <xdr:rowOff>175115</xdr:rowOff>
    </xdr:from>
    <xdr:to>
      <xdr:col>6</xdr:col>
      <xdr:colOff>541414</xdr:colOff>
      <xdr:row>4</xdr:row>
      <xdr:rowOff>6350</xdr:rowOff>
    </xdr:to>
    <xdr:pic>
      <xdr:nvPicPr>
        <xdr:cNvPr id="4" name="Picture 3" descr="us department of transportation/federal railroad administration">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0" y="175115"/>
          <a:ext cx="4335539" cy="596410"/>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188117</xdr:colOff>
      <xdr:row>4</xdr:row>
      <xdr:rowOff>3160</xdr:rowOff>
    </xdr:to>
    <xdr:pic>
      <xdr:nvPicPr>
        <xdr:cNvPr id="5" name="Picture 4" descr="ricardo logo&#10;">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439775" y="152400"/>
          <a:ext cx="826292" cy="595827"/>
        </a:xfrm>
        <a:prstGeom prst="rect">
          <a:avLst/>
        </a:prstGeom>
        <a:noFill/>
        <a:ln w="1">
          <a:noFill/>
          <a:miter lim="800000"/>
          <a:headEnd/>
          <a:tailEnd type="none" w="med" len="med"/>
        </a:ln>
        <a:effectLst/>
      </xdr:spPr>
    </xdr:pic>
    <xdr:clientData/>
  </xdr:twoCellAnchor>
  <xdr:twoCellAnchor>
    <xdr:from>
      <xdr:col>5</xdr:col>
      <xdr:colOff>190501</xdr:colOff>
      <xdr:row>29</xdr:row>
      <xdr:rowOff>149226</xdr:rowOff>
    </xdr:from>
    <xdr:to>
      <xdr:col>6</xdr:col>
      <xdr:colOff>190501</xdr:colOff>
      <xdr:row>31</xdr:row>
      <xdr:rowOff>32810</xdr:rowOff>
    </xdr:to>
    <xdr:sp macro="" textlink="">
      <xdr:nvSpPr>
        <xdr:cNvPr id="6" name="TextBox 5" descr="Train Nose Passes Microphone&#10;">
          <a:extLst>
            <a:ext uri="{FF2B5EF4-FFF2-40B4-BE49-F238E27FC236}">
              <a16:creationId xmlns:a16="http://schemas.microsoft.com/office/drawing/2014/main" id="{00000000-0008-0000-0B00-000006000000}"/>
            </a:ext>
          </a:extLst>
        </xdr:cNvPr>
        <xdr:cNvSpPr txBox="1"/>
      </xdr:nvSpPr>
      <xdr:spPr>
        <a:xfrm>
          <a:off x="3238501" y="6016626"/>
          <a:ext cx="1981200"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30</xdr:row>
      <xdr:rowOff>85725</xdr:rowOff>
    </xdr:from>
    <xdr:to>
      <xdr:col>5</xdr:col>
      <xdr:colOff>211668</xdr:colOff>
      <xdr:row>30</xdr:row>
      <xdr:rowOff>85725</xdr:rowOff>
    </xdr:to>
    <xdr:cxnSp macro="">
      <xdr:nvCxnSpPr>
        <xdr:cNvPr id="7" name="Straight Arrow Connector 6" descr="arrow">
          <a:extLst>
            <a:ext uri="{FF2B5EF4-FFF2-40B4-BE49-F238E27FC236}">
              <a16:creationId xmlns:a16="http://schemas.microsoft.com/office/drawing/2014/main" id="{00000000-0008-0000-0B00-000007000000}"/>
            </a:ext>
          </a:extLst>
        </xdr:cNvPr>
        <xdr:cNvCxnSpPr/>
      </xdr:nvCxnSpPr>
      <xdr:spPr>
        <a:xfrm flipH="1" flipV="1">
          <a:off x="3058584" y="614362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619124</xdr:colOff>
      <xdr:row>42</xdr:row>
      <xdr:rowOff>92226</xdr:rowOff>
    </xdr:from>
    <xdr:to>
      <xdr:col>5</xdr:col>
      <xdr:colOff>210608</xdr:colOff>
      <xdr:row>42</xdr:row>
      <xdr:rowOff>92226</xdr:rowOff>
    </xdr:to>
    <xdr:cxnSp macro="">
      <xdr:nvCxnSpPr>
        <xdr:cNvPr id="8" name="Straight Arrow Connector 7" descr="arrow">
          <a:extLst>
            <a:ext uri="{FF2B5EF4-FFF2-40B4-BE49-F238E27FC236}">
              <a16:creationId xmlns:a16="http://schemas.microsoft.com/office/drawing/2014/main" id="{00000000-0008-0000-0B00-000008000000}"/>
            </a:ext>
          </a:extLst>
        </xdr:cNvPr>
        <xdr:cNvCxnSpPr/>
      </xdr:nvCxnSpPr>
      <xdr:spPr>
        <a:xfrm flipH="1" flipV="1">
          <a:off x="3159124" y="8199059"/>
          <a:ext cx="2264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10432</xdr:colOff>
      <xdr:row>62</xdr:row>
      <xdr:rowOff>103868</xdr:rowOff>
    </xdr:from>
    <xdr:to>
      <xdr:col>5</xdr:col>
      <xdr:colOff>208795</xdr:colOff>
      <xdr:row>62</xdr:row>
      <xdr:rowOff>103868</xdr:rowOff>
    </xdr:to>
    <xdr:cxnSp macro="">
      <xdr:nvCxnSpPr>
        <xdr:cNvPr id="9" name="Straight Arrow Connector 8" descr="arrow">
          <a:extLst>
            <a:ext uri="{FF2B5EF4-FFF2-40B4-BE49-F238E27FC236}">
              <a16:creationId xmlns:a16="http://schemas.microsoft.com/office/drawing/2014/main" id="{00000000-0008-0000-0B00-000009000000}"/>
            </a:ext>
          </a:extLst>
        </xdr:cNvPr>
        <xdr:cNvCxnSpPr/>
      </xdr:nvCxnSpPr>
      <xdr:spPr>
        <a:xfrm flipH="1" flipV="1">
          <a:off x="3058432" y="12257768"/>
          <a:ext cx="19836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303</xdr:colOff>
      <xdr:row>88</xdr:row>
      <xdr:rowOff>99030</xdr:rowOff>
    </xdr:from>
    <xdr:to>
      <xdr:col>5</xdr:col>
      <xdr:colOff>201387</xdr:colOff>
      <xdr:row>88</xdr:row>
      <xdr:rowOff>99030</xdr:rowOff>
    </xdr:to>
    <xdr:cxnSp macro="">
      <xdr:nvCxnSpPr>
        <xdr:cNvPr id="10" name="Straight Arrow Connector 9" descr="arrow">
          <a:extLst>
            <a:ext uri="{FF2B5EF4-FFF2-40B4-BE49-F238E27FC236}">
              <a16:creationId xmlns:a16="http://schemas.microsoft.com/office/drawing/2014/main" id="{00000000-0008-0000-0B00-00000A000000}"/>
            </a:ext>
          </a:extLst>
        </xdr:cNvPr>
        <xdr:cNvCxnSpPr/>
      </xdr:nvCxnSpPr>
      <xdr:spPr>
        <a:xfrm flipH="1" flipV="1">
          <a:off x="3048303" y="1720593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150283</xdr:colOff>
      <xdr:row>41</xdr:row>
      <xdr:rowOff>108101</xdr:rowOff>
    </xdr:from>
    <xdr:to>
      <xdr:col>6</xdr:col>
      <xdr:colOff>276225</xdr:colOff>
      <xdr:row>42</xdr:row>
      <xdr:rowOff>182185</xdr:rowOff>
    </xdr:to>
    <xdr:sp macro="" textlink="">
      <xdr:nvSpPr>
        <xdr:cNvPr id="11" name="TextBox 10" descr="Start Time for LpASmax Calculation&#10;">
          <a:extLst>
            <a:ext uri="{FF2B5EF4-FFF2-40B4-BE49-F238E27FC236}">
              <a16:creationId xmlns:a16="http://schemas.microsoft.com/office/drawing/2014/main" id="{00000000-0008-0000-0B00-00000B000000}"/>
            </a:ext>
          </a:extLst>
        </xdr:cNvPr>
        <xdr:cNvSpPr txBox="1"/>
      </xdr:nvSpPr>
      <xdr:spPr>
        <a:xfrm>
          <a:off x="3198283" y="8261501"/>
          <a:ext cx="2107142"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Start Time for L</a:t>
          </a:r>
          <a:r>
            <a:rPr lang="en-US" sz="1100" baseline="-25000">
              <a:solidFill>
                <a:sysClr val="windowText" lastClr="000000"/>
              </a:solidFill>
            </a:rPr>
            <a:t>pASmax</a:t>
          </a:r>
          <a:r>
            <a:rPr lang="en-US" sz="1100" baseline="0">
              <a:solidFill>
                <a:sysClr val="windowText" lastClr="000000"/>
              </a:solidFill>
            </a:rPr>
            <a:t> Calculation</a:t>
          </a:r>
          <a:endParaRPr lang="en-US" sz="1100">
            <a:solidFill>
              <a:sysClr val="windowText" lastClr="000000"/>
            </a:solidFill>
          </a:endParaRPr>
        </a:p>
      </xdr:txBody>
    </xdr:sp>
    <xdr:clientData/>
  </xdr:twoCellAnchor>
  <xdr:twoCellAnchor>
    <xdr:from>
      <xdr:col>5</xdr:col>
      <xdr:colOff>225728</xdr:colOff>
      <xdr:row>61</xdr:row>
      <xdr:rowOff>184301</xdr:rowOff>
    </xdr:from>
    <xdr:to>
      <xdr:col>6</xdr:col>
      <xdr:colOff>871311</xdr:colOff>
      <xdr:row>63</xdr:row>
      <xdr:rowOff>104775</xdr:rowOff>
    </xdr:to>
    <xdr:sp macro="" textlink="">
      <xdr:nvSpPr>
        <xdr:cNvPr id="12" name="TextBox 11">
          <a:extLst>
            <a:ext uri="{FF2B5EF4-FFF2-40B4-BE49-F238E27FC236}">
              <a16:creationId xmlns:a16="http://schemas.microsoft.com/office/drawing/2014/main" id="{00000000-0008-0000-0B00-00000C000000}"/>
            </a:ext>
          </a:extLst>
        </xdr:cNvPr>
        <xdr:cNvSpPr txBox="1"/>
      </xdr:nvSpPr>
      <xdr:spPr>
        <a:xfrm>
          <a:off x="3273728" y="12147701"/>
          <a:ext cx="2626783" cy="30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End Time for L</a:t>
          </a:r>
          <a:r>
            <a:rPr lang="en-US" sz="1100" baseline="-25000">
              <a:solidFill>
                <a:sysClr val="windowText" lastClr="000000"/>
              </a:solidFill>
            </a:rPr>
            <a:t>pASmax</a:t>
          </a:r>
          <a:r>
            <a:rPr lang="en-US" sz="1100" baseline="0">
              <a:solidFill>
                <a:sysClr val="windowText" lastClr="000000"/>
              </a:solidFill>
            </a:rPr>
            <a:t> Calculation</a:t>
          </a:r>
        </a:p>
      </xdr:txBody>
    </xdr:sp>
    <xdr:clientData/>
  </xdr:twoCellAnchor>
  <xdr:twoCellAnchor>
    <xdr:from>
      <xdr:col>5</xdr:col>
      <xdr:colOff>221192</xdr:colOff>
      <xdr:row>25</xdr:row>
      <xdr:rowOff>139096</xdr:rowOff>
    </xdr:from>
    <xdr:to>
      <xdr:col>5</xdr:col>
      <xdr:colOff>1866900</xdr:colOff>
      <xdr:row>29</xdr:row>
      <xdr:rowOff>28575</xdr:rowOff>
    </xdr:to>
    <xdr:sp macro="" textlink="">
      <xdr:nvSpPr>
        <xdr:cNvPr id="15" name="TextBox 14" descr="10 dB(A) lower than SPL when Train Nose Passes Microphone&#10;">
          <a:extLst>
            <a:ext uri="{FF2B5EF4-FFF2-40B4-BE49-F238E27FC236}">
              <a16:creationId xmlns:a16="http://schemas.microsoft.com/office/drawing/2014/main" id="{00000000-0008-0000-0B00-00000F000000}"/>
            </a:ext>
          </a:extLst>
        </xdr:cNvPr>
        <xdr:cNvSpPr txBox="1"/>
      </xdr:nvSpPr>
      <xdr:spPr>
        <a:xfrm>
          <a:off x="3269192" y="5244496"/>
          <a:ext cx="1645708" cy="651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20108</xdr:colOff>
      <xdr:row>27</xdr:row>
      <xdr:rowOff>48079</xdr:rowOff>
    </xdr:from>
    <xdr:to>
      <xdr:col>5</xdr:col>
      <xdr:colOff>221192</xdr:colOff>
      <xdr:row>27</xdr:row>
      <xdr:rowOff>48079</xdr:rowOff>
    </xdr:to>
    <xdr:cxnSp macro="">
      <xdr:nvCxnSpPr>
        <xdr:cNvPr id="16" name="Straight Arrow Connector 15" descr="arrow">
          <a:extLst>
            <a:ext uri="{FF2B5EF4-FFF2-40B4-BE49-F238E27FC236}">
              <a16:creationId xmlns:a16="http://schemas.microsoft.com/office/drawing/2014/main" id="{00000000-0008-0000-0B00-000010000000}"/>
            </a:ext>
          </a:extLst>
        </xdr:cNvPr>
        <xdr:cNvCxnSpPr/>
      </xdr:nvCxnSpPr>
      <xdr:spPr>
        <a:xfrm flipH="1" flipV="1">
          <a:off x="3068108" y="5534479"/>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608239</xdr:colOff>
      <xdr:row>82</xdr:row>
      <xdr:rowOff>84970</xdr:rowOff>
    </xdr:from>
    <xdr:to>
      <xdr:col>5</xdr:col>
      <xdr:colOff>199723</xdr:colOff>
      <xdr:row>82</xdr:row>
      <xdr:rowOff>84970</xdr:rowOff>
    </xdr:to>
    <xdr:cxnSp macro="">
      <xdr:nvCxnSpPr>
        <xdr:cNvPr id="17" name="Straight Arrow Connector 16" descr="arrow">
          <a:extLst>
            <a:ext uri="{FF2B5EF4-FFF2-40B4-BE49-F238E27FC236}">
              <a16:creationId xmlns:a16="http://schemas.microsoft.com/office/drawing/2014/main" id="{00000000-0008-0000-0B00-000011000000}"/>
            </a:ext>
          </a:extLst>
        </xdr:cNvPr>
        <xdr:cNvCxnSpPr/>
      </xdr:nvCxnSpPr>
      <xdr:spPr>
        <a:xfrm flipH="1" flipV="1">
          <a:off x="3046639" y="1604887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225123</xdr:colOff>
      <xdr:row>81</xdr:row>
      <xdr:rowOff>136071</xdr:rowOff>
    </xdr:from>
    <xdr:to>
      <xdr:col>6</xdr:col>
      <xdr:colOff>225123</xdr:colOff>
      <xdr:row>83</xdr:row>
      <xdr:rowOff>27213</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3273123" y="15909471"/>
          <a:ext cx="1981200" cy="27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Tail Passes Microphone</a:t>
          </a:r>
          <a:endParaRPr lang="en-US" sz="1100"/>
        </a:p>
      </xdr:txBody>
    </xdr:sp>
    <xdr:clientData/>
  </xdr:twoCellAnchor>
  <xdr:twoCellAnchor>
    <xdr:from>
      <xdr:col>5</xdr:col>
      <xdr:colOff>4082</xdr:colOff>
      <xdr:row>43</xdr:row>
      <xdr:rowOff>89052</xdr:rowOff>
    </xdr:from>
    <xdr:to>
      <xdr:col>5</xdr:col>
      <xdr:colOff>205166</xdr:colOff>
      <xdr:row>43</xdr:row>
      <xdr:rowOff>89052</xdr:rowOff>
    </xdr:to>
    <xdr:cxnSp macro="">
      <xdr:nvCxnSpPr>
        <xdr:cNvPr id="19" name="Straight Arrow Connector 18" descr="arrow">
          <a:extLst>
            <a:ext uri="{FF2B5EF4-FFF2-40B4-BE49-F238E27FC236}">
              <a16:creationId xmlns:a16="http://schemas.microsoft.com/office/drawing/2014/main" id="{00000000-0008-0000-0B00-000013000000}"/>
            </a:ext>
          </a:extLst>
        </xdr:cNvPr>
        <xdr:cNvCxnSpPr/>
      </xdr:nvCxnSpPr>
      <xdr:spPr>
        <a:xfrm flipH="1" flipV="1">
          <a:off x="3052082" y="8623452"/>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230566</xdr:colOff>
      <xdr:row>42</xdr:row>
      <xdr:rowOff>140152</xdr:rowOff>
    </xdr:from>
    <xdr:to>
      <xdr:col>6</xdr:col>
      <xdr:colOff>493939</xdr:colOff>
      <xdr:row>44</xdr:row>
      <xdr:rowOff>58509</xdr:rowOff>
    </xdr:to>
    <xdr:sp macro="" textlink="">
      <xdr:nvSpPr>
        <xdr:cNvPr id="20" name="TextBox 19" descr="Maximum Sound Pressure Level&#10;">
          <a:extLst>
            <a:ext uri="{FF2B5EF4-FFF2-40B4-BE49-F238E27FC236}">
              <a16:creationId xmlns:a16="http://schemas.microsoft.com/office/drawing/2014/main" id="{00000000-0008-0000-0B00-000014000000}"/>
            </a:ext>
          </a:extLst>
        </xdr:cNvPr>
        <xdr:cNvSpPr txBox="1"/>
      </xdr:nvSpPr>
      <xdr:spPr>
        <a:xfrm>
          <a:off x="3278566" y="8484052"/>
          <a:ext cx="2244573" cy="299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Maximum Sound Pressure Level</a:t>
          </a:r>
          <a:endParaRPr lang="en-US" sz="1100">
            <a:solidFill>
              <a:sysClr val="windowText" lastClr="000000"/>
            </a:solidFill>
          </a:endParaRPr>
        </a:p>
      </xdr:txBody>
    </xdr:sp>
    <xdr:clientData/>
  </xdr:twoCellAnchor>
  <xdr:twoCellAnchor>
    <xdr:from>
      <xdr:col>5</xdr:col>
      <xdr:colOff>198212</xdr:colOff>
      <xdr:row>87</xdr:row>
      <xdr:rowOff>91621</xdr:rowOff>
    </xdr:from>
    <xdr:to>
      <xdr:col>6</xdr:col>
      <xdr:colOff>198212</xdr:colOff>
      <xdr:row>89</xdr:row>
      <xdr:rowOff>186871</xdr:rowOff>
    </xdr:to>
    <xdr:sp macro="" textlink="">
      <xdr:nvSpPr>
        <xdr:cNvPr id="30" name="TextBox 29">
          <a:extLst>
            <a:ext uri="{FF2B5EF4-FFF2-40B4-BE49-F238E27FC236}">
              <a16:creationId xmlns:a16="http://schemas.microsoft.com/office/drawing/2014/main" id="{00000000-0008-0000-0B00-00001E000000}"/>
            </a:ext>
          </a:extLst>
        </xdr:cNvPr>
        <xdr:cNvSpPr txBox="1"/>
      </xdr:nvSpPr>
      <xdr:spPr>
        <a:xfrm>
          <a:off x="3246212" y="17008021"/>
          <a:ext cx="19812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editAs="oneCell">
    <xdr:from>
      <xdr:col>6</xdr:col>
      <xdr:colOff>328084</xdr:colOff>
      <xdr:row>29</xdr:row>
      <xdr:rowOff>140758</xdr:rowOff>
    </xdr:from>
    <xdr:to>
      <xdr:col>14</xdr:col>
      <xdr:colOff>560917</xdr:colOff>
      <xdr:row>66</xdr:row>
      <xdr:rowOff>28575</xdr:rowOff>
    </xdr:to>
    <xdr:pic>
      <xdr:nvPicPr>
        <xdr:cNvPr id="2" name="Picture 1" descr="plot of pass-by noise data, including key time parameters">
          <a:extLst>
            <a:ext uri="{FF2B5EF4-FFF2-40B4-BE49-F238E27FC236}">
              <a16:creationId xmlns:a16="http://schemas.microsoft.com/office/drawing/2014/main" id="{8609192D-6825-4190-AB8D-5DF7FC7942EC}"/>
            </a:ext>
          </a:extLst>
        </xdr:cNvPr>
        <xdr:cNvPicPr>
          <a:picLocks noChangeAspect="1"/>
        </xdr:cNvPicPr>
      </xdr:nvPicPr>
      <xdr:blipFill>
        <a:blip xmlns:r="http://schemas.openxmlformats.org/officeDocument/2006/relationships" r:embed="rId4"/>
        <a:stretch>
          <a:fillRect/>
        </a:stretch>
      </xdr:blipFill>
      <xdr:spPr>
        <a:xfrm>
          <a:off x="5577417" y="5771091"/>
          <a:ext cx="9909175" cy="69331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425450</xdr:colOff>
      <xdr:row>28</xdr:row>
      <xdr:rowOff>198967</xdr:rowOff>
    </xdr:to>
    <xdr:pic>
      <xdr:nvPicPr>
        <xdr:cNvPr id="2" name="Picture 1" descr="LpAeq,Tp is the A-weighted equivalent continuous sound pressure level produced by the train as measured during the pass-by event ">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rcRect/>
        <a:stretch>
          <a:fillRect/>
        </a:stretch>
      </xdr:blipFill>
      <xdr:spPr bwMode="auto">
        <a:xfrm>
          <a:off x="1219200" y="5105400"/>
          <a:ext cx="3819525" cy="833967"/>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3" name="Picture 1" descr="LpAeq,Tp can be calculated from the pass-by data using the following relationship">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6442596"/>
          <a:ext cx="3169407" cy="864137"/>
        </a:xfrm>
        <a:prstGeom prst="rect">
          <a:avLst/>
        </a:prstGeom>
        <a:noFill/>
        <a:ln w="1">
          <a:noFill/>
          <a:miter lim="800000"/>
          <a:headEnd/>
          <a:tailEnd type="none" w="med" len="med"/>
        </a:ln>
        <a:effectLst/>
      </xdr:spPr>
    </xdr:pic>
    <xdr:clientData/>
  </xdr:twoCellAnchor>
  <xdr:twoCellAnchor editAs="oneCell">
    <xdr:from>
      <xdr:col>10</xdr:col>
      <xdr:colOff>419100</xdr:colOff>
      <xdr:row>56</xdr:row>
      <xdr:rowOff>38100</xdr:rowOff>
    </xdr:from>
    <xdr:to>
      <xdr:col>11</xdr:col>
      <xdr:colOff>753534</xdr:colOff>
      <xdr:row>59</xdr:row>
      <xdr:rowOff>28228</xdr:rowOff>
    </xdr:to>
    <xdr:pic>
      <xdr:nvPicPr>
        <xdr:cNvPr id="4" name="Picture 3" descr="Data Point Number for Start of Pass-by Event (time at which train nose passes microphon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2306300"/>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58</xdr:row>
      <xdr:rowOff>123825</xdr:rowOff>
    </xdr:from>
    <xdr:to>
      <xdr:col>4</xdr:col>
      <xdr:colOff>430742</xdr:colOff>
      <xdr:row>62</xdr:row>
      <xdr:rowOff>67733</xdr:rowOff>
    </xdr:to>
    <xdr:pic>
      <xdr:nvPicPr>
        <xdr:cNvPr id="5" name="Picture 9" descr="Data Point Number for End of Pass-by Event (time at which train tail passes microphone)">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2773025"/>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541414</xdr:colOff>
      <xdr:row>5</xdr:row>
      <xdr:rowOff>6350</xdr:rowOff>
    </xdr:to>
    <xdr:pic>
      <xdr:nvPicPr>
        <xdr:cNvPr id="6" name="Picture 5" descr="us department of transportation/federal railroad administration log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6375" y="365615"/>
          <a:ext cx="3678314"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477041</xdr:colOff>
      <xdr:row>4</xdr:row>
      <xdr:rowOff>165086</xdr:rowOff>
    </xdr:to>
    <xdr:pic>
      <xdr:nvPicPr>
        <xdr:cNvPr id="7" name="Picture 6" descr="ricardo logo">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1925" y="328084"/>
          <a:ext cx="829467" cy="595827"/>
        </a:xfrm>
        <a:prstGeom prst="rect">
          <a:avLst/>
        </a:prstGeom>
        <a:noFill/>
        <a:ln w="1">
          <a:noFill/>
          <a:miter lim="800000"/>
          <a:headEnd/>
          <a:tailEnd type="none" w="med" len="med"/>
        </a:ln>
        <a:effectLst/>
      </xdr:spPr>
    </xdr:pic>
    <xdr:clientData/>
  </xdr:twoCellAnchor>
  <xdr:twoCellAnchor editAs="oneCell">
    <xdr:from>
      <xdr:col>10</xdr:col>
      <xdr:colOff>419100</xdr:colOff>
      <xdr:row>98</xdr:row>
      <xdr:rowOff>38100</xdr:rowOff>
    </xdr:from>
    <xdr:to>
      <xdr:col>11</xdr:col>
      <xdr:colOff>753534</xdr:colOff>
      <xdr:row>100</xdr:row>
      <xdr:rowOff>173220</xdr:rowOff>
    </xdr:to>
    <xdr:pic>
      <xdr:nvPicPr>
        <xdr:cNvPr id="8" name="Picture 7" descr="Data Point Number for Start of Pass-by Event (time at which train nose passes microphone)">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20640675"/>
          <a:ext cx="1228725" cy="554220"/>
        </a:xfrm>
        <a:prstGeom prst="rect">
          <a:avLst/>
        </a:prstGeom>
        <a:noFill/>
        <a:ln w="1">
          <a:noFill/>
          <a:miter lim="800000"/>
          <a:headEnd/>
          <a:tailEnd type="none" w="med" len="med"/>
        </a:ln>
        <a:effectLst/>
      </xdr:spPr>
    </xdr:pic>
    <xdr:clientData/>
  </xdr:twoCellAnchor>
  <xdr:twoCellAnchor editAs="oneCell">
    <xdr:from>
      <xdr:col>1</xdr:col>
      <xdr:colOff>807508</xdr:colOff>
      <xdr:row>100</xdr:row>
      <xdr:rowOff>123824</xdr:rowOff>
    </xdr:from>
    <xdr:to>
      <xdr:col>4</xdr:col>
      <xdr:colOff>600075</xdr:colOff>
      <xdr:row>104</xdr:row>
      <xdr:rowOff>31747</xdr:rowOff>
    </xdr:to>
    <xdr:pic>
      <xdr:nvPicPr>
        <xdr:cNvPr id="9" name="Picture 9" descr="Data Point Number for End of Pass-by Event (time at which train tail passes microphone)">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17108" y="21145499"/>
          <a:ext cx="2113492" cy="704849"/>
        </a:xfrm>
        <a:prstGeom prst="rect">
          <a:avLst/>
        </a:prstGeom>
        <a:noFill/>
        <a:ln w="1">
          <a:noFill/>
          <a:miter lim="800000"/>
          <a:headEnd/>
          <a:tailEnd type="none" w="med" len="med"/>
        </a:ln>
        <a:effectLst/>
      </xdr:spPr>
    </xdr:pic>
    <xdr:clientData/>
  </xdr:twoCellAnchor>
  <xdr:twoCellAnchor editAs="oneCell">
    <xdr:from>
      <xdr:col>15</xdr:col>
      <xdr:colOff>0</xdr:colOff>
      <xdr:row>139</xdr:row>
      <xdr:rowOff>0</xdr:rowOff>
    </xdr:from>
    <xdr:to>
      <xdr:col>20</xdr:col>
      <xdr:colOff>584199</xdr:colOff>
      <xdr:row>151</xdr:row>
      <xdr:rowOff>78317</xdr:rowOff>
    </xdr:to>
    <xdr:pic>
      <xdr:nvPicPr>
        <xdr:cNvPr id="10" name="Picture 23" descr="Ricardo calculated the K factor values for 12 pass-by noise data sets">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758083" y="28532667"/>
          <a:ext cx="4581525" cy="275907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10</xdr:row>
      <xdr:rowOff>20986</xdr:rowOff>
    </xdr:from>
    <xdr:to>
      <xdr:col>5</xdr:col>
      <xdr:colOff>1625600</xdr:colOff>
      <xdr:row>20</xdr:row>
      <xdr:rowOff>149734</xdr:rowOff>
    </xdr:to>
    <xdr:pic>
      <xdr:nvPicPr>
        <xdr:cNvPr id="3" name="Picture 1" descr="hina crh3 series train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2975" y="1925986"/>
          <a:ext cx="3733800" cy="2043273"/>
        </a:xfrm>
        <a:prstGeom prst="rect">
          <a:avLst/>
        </a:prstGeom>
        <a:noFill/>
        <a:ln w="1">
          <a:noFill/>
          <a:miter lim="800000"/>
          <a:headEnd/>
          <a:tailEnd type="none" w="med" len="med"/>
        </a:ln>
        <a:effectLst/>
      </xdr:spPr>
    </xdr:pic>
    <xdr:clientData/>
  </xdr:twoCellAnchor>
  <xdr:twoCellAnchor>
    <xdr:from>
      <xdr:col>4</xdr:col>
      <xdr:colOff>266701</xdr:colOff>
      <xdr:row>18</xdr:row>
      <xdr:rowOff>142875</xdr:rowOff>
    </xdr:from>
    <xdr:to>
      <xdr:col>5</xdr:col>
      <xdr:colOff>1257301</xdr:colOff>
      <xdr:row>20</xdr:row>
      <xdr:rowOff>38100</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05101" y="3581400"/>
          <a:ext cx="16002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China CRH3 Series Train</a:t>
          </a:r>
          <a:r>
            <a:rPr lang="en-US" sz="1100" baseline="30000"/>
            <a:t>2</a:t>
          </a:r>
          <a:endParaRPr lang="en-US" sz="1100"/>
        </a:p>
      </xdr:txBody>
    </xdr:sp>
    <xdr:clientData/>
  </xdr:twoCellAnchor>
  <xdr:twoCellAnchor editAs="oneCell">
    <xdr:from>
      <xdr:col>2</xdr:col>
      <xdr:colOff>19050</xdr:colOff>
      <xdr:row>0</xdr:row>
      <xdr:rowOff>175115</xdr:rowOff>
    </xdr:from>
    <xdr:to>
      <xdr:col>6</xdr:col>
      <xdr:colOff>541414</xdr:colOff>
      <xdr:row>4</xdr:row>
      <xdr:rowOff>6350</xdr:rowOff>
    </xdr:to>
    <xdr:pic>
      <xdr:nvPicPr>
        <xdr:cNvPr id="5" name="Picture 4" descr="us department of transportation/federal railroad administration logo">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0" y="175115"/>
          <a:ext cx="4335539" cy="596410"/>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188117</xdr:colOff>
      <xdr:row>4</xdr:row>
      <xdr:rowOff>1308</xdr:rowOff>
    </xdr:to>
    <xdr:pic>
      <xdr:nvPicPr>
        <xdr:cNvPr id="6" name="Picture 5" descr="ricardo logo">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611225" y="152400"/>
          <a:ext cx="826292" cy="595827"/>
        </a:xfrm>
        <a:prstGeom prst="rect">
          <a:avLst/>
        </a:prstGeom>
        <a:noFill/>
        <a:ln w="1">
          <a:noFill/>
          <a:miter lim="800000"/>
          <a:headEnd/>
          <a:tailEnd type="none" w="med" len="med"/>
        </a:ln>
        <a:effectLst/>
      </xdr:spPr>
    </xdr:pic>
    <xdr:clientData/>
  </xdr:twoCellAnchor>
  <xdr:twoCellAnchor>
    <xdr:from>
      <xdr:col>5</xdr:col>
      <xdr:colOff>190501</xdr:colOff>
      <xdr:row>29</xdr:row>
      <xdr:rowOff>149226</xdr:rowOff>
    </xdr:from>
    <xdr:to>
      <xdr:col>6</xdr:col>
      <xdr:colOff>190501</xdr:colOff>
      <xdr:row>31</xdr:row>
      <xdr:rowOff>32810</xdr:rowOff>
    </xdr:to>
    <xdr:sp macro="" textlink="">
      <xdr:nvSpPr>
        <xdr:cNvPr id="7" name="TextBox 6" descr="Train Nose Passes Microphone&#10;">
          <a:extLst>
            <a:ext uri="{FF2B5EF4-FFF2-40B4-BE49-F238E27FC236}">
              <a16:creationId xmlns:a16="http://schemas.microsoft.com/office/drawing/2014/main" id="{00000000-0008-0000-0D00-000007000000}"/>
            </a:ext>
          </a:extLst>
        </xdr:cNvPr>
        <xdr:cNvSpPr txBox="1"/>
      </xdr:nvSpPr>
      <xdr:spPr>
        <a:xfrm>
          <a:off x="3238501" y="6016626"/>
          <a:ext cx="1981200"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30</xdr:row>
      <xdr:rowOff>85725</xdr:rowOff>
    </xdr:from>
    <xdr:to>
      <xdr:col>5</xdr:col>
      <xdr:colOff>211668</xdr:colOff>
      <xdr:row>30</xdr:row>
      <xdr:rowOff>85725</xdr:rowOff>
    </xdr:to>
    <xdr:cxnSp macro="">
      <xdr:nvCxnSpPr>
        <xdr:cNvPr id="8" name="Straight Arrow Connector 7" descr="arrow">
          <a:extLst>
            <a:ext uri="{FF2B5EF4-FFF2-40B4-BE49-F238E27FC236}">
              <a16:creationId xmlns:a16="http://schemas.microsoft.com/office/drawing/2014/main" id="{00000000-0008-0000-0D00-000008000000}"/>
            </a:ext>
          </a:extLst>
        </xdr:cNvPr>
        <xdr:cNvCxnSpPr/>
      </xdr:nvCxnSpPr>
      <xdr:spPr>
        <a:xfrm flipH="1" flipV="1">
          <a:off x="3058584" y="614362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5821</xdr:colOff>
      <xdr:row>41</xdr:row>
      <xdr:rowOff>104132</xdr:rowOff>
    </xdr:from>
    <xdr:to>
      <xdr:col>5</xdr:col>
      <xdr:colOff>204524</xdr:colOff>
      <xdr:row>41</xdr:row>
      <xdr:rowOff>104132</xdr:rowOff>
    </xdr:to>
    <xdr:cxnSp macro="">
      <xdr:nvCxnSpPr>
        <xdr:cNvPr id="9" name="Straight Arrow Connector 8" descr="arrow">
          <a:extLst>
            <a:ext uri="{FF2B5EF4-FFF2-40B4-BE49-F238E27FC236}">
              <a16:creationId xmlns:a16="http://schemas.microsoft.com/office/drawing/2014/main" id="{00000000-0008-0000-0D00-000009000000}"/>
            </a:ext>
          </a:extLst>
        </xdr:cNvPr>
        <xdr:cNvCxnSpPr/>
      </xdr:nvCxnSpPr>
      <xdr:spPr>
        <a:xfrm flipH="1" flipV="1">
          <a:off x="3041915" y="8259913"/>
          <a:ext cx="19870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22339</xdr:colOff>
      <xdr:row>61</xdr:row>
      <xdr:rowOff>80056</xdr:rowOff>
    </xdr:from>
    <xdr:to>
      <xdr:col>5</xdr:col>
      <xdr:colOff>220702</xdr:colOff>
      <xdr:row>61</xdr:row>
      <xdr:rowOff>80056</xdr:rowOff>
    </xdr:to>
    <xdr:cxnSp macro="">
      <xdr:nvCxnSpPr>
        <xdr:cNvPr id="10" name="Straight Arrow Connector 9" descr="arrow">
          <a:extLst>
            <a:ext uri="{FF2B5EF4-FFF2-40B4-BE49-F238E27FC236}">
              <a16:creationId xmlns:a16="http://schemas.microsoft.com/office/drawing/2014/main" id="{00000000-0008-0000-0D00-00000A000000}"/>
            </a:ext>
          </a:extLst>
        </xdr:cNvPr>
        <xdr:cNvCxnSpPr/>
      </xdr:nvCxnSpPr>
      <xdr:spPr>
        <a:xfrm flipH="1" flipV="1">
          <a:off x="3058433" y="12045837"/>
          <a:ext cx="19836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600378</xdr:colOff>
      <xdr:row>90</xdr:row>
      <xdr:rowOff>89505</xdr:rowOff>
    </xdr:from>
    <xdr:to>
      <xdr:col>5</xdr:col>
      <xdr:colOff>191862</xdr:colOff>
      <xdr:row>90</xdr:row>
      <xdr:rowOff>89505</xdr:rowOff>
    </xdr:to>
    <xdr:cxnSp macro="">
      <xdr:nvCxnSpPr>
        <xdr:cNvPr id="11" name="Straight Arrow Connector 10" descr="arrow">
          <a:extLst>
            <a:ext uri="{FF2B5EF4-FFF2-40B4-BE49-F238E27FC236}">
              <a16:creationId xmlns:a16="http://schemas.microsoft.com/office/drawing/2014/main" id="{00000000-0008-0000-0D00-00000B000000}"/>
            </a:ext>
          </a:extLst>
        </xdr:cNvPr>
        <xdr:cNvCxnSpPr/>
      </xdr:nvCxnSpPr>
      <xdr:spPr>
        <a:xfrm flipH="1" flipV="1">
          <a:off x="3038778" y="1757740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259819</xdr:colOff>
      <xdr:row>40</xdr:row>
      <xdr:rowOff>182713</xdr:rowOff>
    </xdr:from>
    <xdr:to>
      <xdr:col>6</xdr:col>
      <xdr:colOff>385761</xdr:colOff>
      <xdr:row>42</xdr:row>
      <xdr:rowOff>66297</xdr:rowOff>
    </xdr:to>
    <xdr:sp macro="" textlink="">
      <xdr:nvSpPr>
        <xdr:cNvPr id="12" name="TextBox 11" descr="Start Time for LpASmax Calculation&#10;">
          <a:extLst>
            <a:ext uri="{FF2B5EF4-FFF2-40B4-BE49-F238E27FC236}">
              <a16:creationId xmlns:a16="http://schemas.microsoft.com/office/drawing/2014/main" id="{00000000-0008-0000-0D00-00000C000000}"/>
            </a:ext>
          </a:extLst>
        </xdr:cNvPr>
        <xdr:cNvSpPr txBox="1"/>
      </xdr:nvSpPr>
      <xdr:spPr>
        <a:xfrm>
          <a:off x="3474507" y="7886057"/>
          <a:ext cx="2197629"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Start Time for L</a:t>
          </a:r>
          <a:r>
            <a:rPr lang="en-US" sz="1100" baseline="-25000">
              <a:solidFill>
                <a:sysClr val="windowText" lastClr="000000"/>
              </a:solidFill>
            </a:rPr>
            <a:t>pASmax</a:t>
          </a:r>
          <a:r>
            <a:rPr lang="en-US" sz="1100" baseline="0">
              <a:solidFill>
                <a:sysClr val="windowText" lastClr="000000"/>
              </a:solidFill>
            </a:rPr>
            <a:t> Calculation</a:t>
          </a:r>
          <a:endParaRPr lang="en-US" sz="1100">
            <a:solidFill>
              <a:sysClr val="windowText" lastClr="000000"/>
            </a:solidFill>
          </a:endParaRPr>
        </a:p>
      </xdr:txBody>
    </xdr:sp>
    <xdr:clientData/>
  </xdr:twoCellAnchor>
  <xdr:twoCellAnchor>
    <xdr:from>
      <xdr:col>5</xdr:col>
      <xdr:colOff>237635</xdr:colOff>
      <xdr:row>60</xdr:row>
      <xdr:rowOff>160489</xdr:rowOff>
    </xdr:from>
    <xdr:to>
      <xdr:col>6</xdr:col>
      <xdr:colOff>883218</xdr:colOff>
      <xdr:row>62</xdr:row>
      <xdr:rowOff>80963</xdr:rowOff>
    </xdr:to>
    <xdr:sp macro="" textlink="">
      <xdr:nvSpPr>
        <xdr:cNvPr id="13" name="TextBox 12" descr="End Time for LpASmax Calculation&#10;">
          <a:extLst>
            <a:ext uri="{FF2B5EF4-FFF2-40B4-BE49-F238E27FC236}">
              <a16:creationId xmlns:a16="http://schemas.microsoft.com/office/drawing/2014/main" id="{00000000-0008-0000-0D00-00000D000000}"/>
            </a:ext>
          </a:extLst>
        </xdr:cNvPr>
        <xdr:cNvSpPr txBox="1"/>
      </xdr:nvSpPr>
      <xdr:spPr>
        <a:xfrm>
          <a:off x="3273729" y="11935770"/>
          <a:ext cx="2622020" cy="30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End Time for L</a:t>
          </a:r>
          <a:r>
            <a:rPr lang="en-US" sz="1100" baseline="-25000">
              <a:solidFill>
                <a:sysClr val="windowText" lastClr="000000"/>
              </a:solidFill>
            </a:rPr>
            <a:t>pASmax</a:t>
          </a:r>
          <a:r>
            <a:rPr lang="en-US" sz="1100" baseline="0">
              <a:solidFill>
                <a:sysClr val="windowText" lastClr="000000"/>
              </a:solidFill>
            </a:rPr>
            <a:t> Calculation</a:t>
          </a:r>
        </a:p>
      </xdr:txBody>
    </xdr:sp>
    <xdr:clientData/>
  </xdr:twoCellAnchor>
  <xdr:twoCellAnchor>
    <xdr:from>
      <xdr:col>5</xdr:col>
      <xdr:colOff>211667</xdr:colOff>
      <xdr:row>24</xdr:row>
      <xdr:rowOff>186721</xdr:rowOff>
    </xdr:from>
    <xdr:to>
      <xdr:col>5</xdr:col>
      <xdr:colOff>1857375</xdr:colOff>
      <xdr:row>28</xdr:row>
      <xdr:rowOff>76200</xdr:rowOff>
    </xdr:to>
    <xdr:sp macro="" textlink="">
      <xdr:nvSpPr>
        <xdr:cNvPr id="14" name="TextBox 13" descr="10 dB(A) lower than SPL when Train Nose Passes Microphone&#10;">
          <a:extLst>
            <a:ext uri="{FF2B5EF4-FFF2-40B4-BE49-F238E27FC236}">
              <a16:creationId xmlns:a16="http://schemas.microsoft.com/office/drawing/2014/main" id="{00000000-0008-0000-0D00-00000E000000}"/>
            </a:ext>
          </a:extLst>
        </xdr:cNvPr>
        <xdr:cNvSpPr txBox="1"/>
      </xdr:nvSpPr>
      <xdr:spPr>
        <a:xfrm>
          <a:off x="3259667" y="5101621"/>
          <a:ext cx="1645708" cy="651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10583</xdr:colOff>
      <xdr:row>26</xdr:row>
      <xdr:rowOff>95704</xdr:rowOff>
    </xdr:from>
    <xdr:to>
      <xdr:col>5</xdr:col>
      <xdr:colOff>211667</xdr:colOff>
      <xdr:row>26</xdr:row>
      <xdr:rowOff>95704</xdr:rowOff>
    </xdr:to>
    <xdr:cxnSp macro="">
      <xdr:nvCxnSpPr>
        <xdr:cNvPr id="15" name="Straight Arrow Connector 14" descr="arrow">
          <a:extLst>
            <a:ext uri="{FF2B5EF4-FFF2-40B4-BE49-F238E27FC236}">
              <a16:creationId xmlns:a16="http://schemas.microsoft.com/office/drawing/2014/main" id="{00000000-0008-0000-0D00-00000F000000}"/>
            </a:ext>
          </a:extLst>
        </xdr:cNvPr>
        <xdr:cNvCxnSpPr/>
      </xdr:nvCxnSpPr>
      <xdr:spPr>
        <a:xfrm flipH="1" flipV="1">
          <a:off x="3058583" y="5391604"/>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608239</xdr:colOff>
      <xdr:row>82</xdr:row>
      <xdr:rowOff>84970</xdr:rowOff>
    </xdr:from>
    <xdr:to>
      <xdr:col>5</xdr:col>
      <xdr:colOff>199723</xdr:colOff>
      <xdr:row>82</xdr:row>
      <xdr:rowOff>84970</xdr:rowOff>
    </xdr:to>
    <xdr:cxnSp macro="">
      <xdr:nvCxnSpPr>
        <xdr:cNvPr id="16" name="Straight Arrow Connector 15" descr="arrow">
          <a:extLst>
            <a:ext uri="{FF2B5EF4-FFF2-40B4-BE49-F238E27FC236}">
              <a16:creationId xmlns:a16="http://schemas.microsoft.com/office/drawing/2014/main" id="{00000000-0008-0000-0D00-000010000000}"/>
            </a:ext>
          </a:extLst>
        </xdr:cNvPr>
        <xdr:cNvCxnSpPr/>
      </xdr:nvCxnSpPr>
      <xdr:spPr>
        <a:xfrm flipH="1" flipV="1">
          <a:off x="3046639" y="1604887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225123</xdr:colOff>
      <xdr:row>81</xdr:row>
      <xdr:rowOff>136071</xdr:rowOff>
    </xdr:from>
    <xdr:to>
      <xdr:col>6</xdr:col>
      <xdr:colOff>225123</xdr:colOff>
      <xdr:row>83</xdr:row>
      <xdr:rowOff>27213</xdr:rowOff>
    </xdr:to>
    <xdr:sp macro="" textlink="">
      <xdr:nvSpPr>
        <xdr:cNvPr id="17" name="TextBox 16" descr="Train Tail Passes Microphone&#10;">
          <a:extLst>
            <a:ext uri="{FF2B5EF4-FFF2-40B4-BE49-F238E27FC236}">
              <a16:creationId xmlns:a16="http://schemas.microsoft.com/office/drawing/2014/main" id="{00000000-0008-0000-0D00-000011000000}"/>
            </a:ext>
          </a:extLst>
        </xdr:cNvPr>
        <xdr:cNvSpPr txBox="1"/>
      </xdr:nvSpPr>
      <xdr:spPr>
        <a:xfrm>
          <a:off x="3273123" y="15909471"/>
          <a:ext cx="1981200" cy="27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Tail Passes Microphone</a:t>
          </a:r>
          <a:endParaRPr lang="en-US" sz="1100"/>
        </a:p>
      </xdr:txBody>
    </xdr:sp>
    <xdr:clientData/>
  </xdr:twoCellAnchor>
  <xdr:twoCellAnchor>
    <xdr:from>
      <xdr:col>5</xdr:col>
      <xdr:colOff>15988</xdr:colOff>
      <xdr:row>57</xdr:row>
      <xdr:rowOff>89052</xdr:rowOff>
    </xdr:from>
    <xdr:to>
      <xdr:col>5</xdr:col>
      <xdr:colOff>217072</xdr:colOff>
      <xdr:row>57</xdr:row>
      <xdr:rowOff>89052</xdr:rowOff>
    </xdr:to>
    <xdr:cxnSp macro="">
      <xdr:nvCxnSpPr>
        <xdr:cNvPr id="18" name="Straight Arrow Connector 17" descr="arrow">
          <a:extLst>
            <a:ext uri="{FF2B5EF4-FFF2-40B4-BE49-F238E27FC236}">
              <a16:creationId xmlns:a16="http://schemas.microsoft.com/office/drawing/2014/main" id="{00000000-0008-0000-0D00-000012000000}"/>
            </a:ext>
          </a:extLst>
        </xdr:cNvPr>
        <xdr:cNvCxnSpPr/>
      </xdr:nvCxnSpPr>
      <xdr:spPr>
        <a:xfrm flipH="1" flipV="1">
          <a:off x="3052082" y="1129283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242472</xdr:colOff>
      <xdr:row>56</xdr:row>
      <xdr:rowOff>140152</xdr:rowOff>
    </xdr:from>
    <xdr:to>
      <xdr:col>6</xdr:col>
      <xdr:colOff>505845</xdr:colOff>
      <xdr:row>58</xdr:row>
      <xdr:rowOff>58509</xdr:rowOff>
    </xdr:to>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3278566" y="11153433"/>
          <a:ext cx="2239810" cy="299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Maximum Sound Pressure Level</a:t>
          </a:r>
          <a:endParaRPr lang="en-US" sz="1100">
            <a:solidFill>
              <a:sysClr val="windowText" lastClr="000000"/>
            </a:solidFill>
          </a:endParaRPr>
        </a:p>
      </xdr:txBody>
    </xdr:sp>
    <xdr:clientData/>
  </xdr:twoCellAnchor>
  <xdr:twoCellAnchor>
    <xdr:from>
      <xdr:col>5</xdr:col>
      <xdr:colOff>188687</xdr:colOff>
      <xdr:row>89</xdr:row>
      <xdr:rowOff>82096</xdr:rowOff>
    </xdr:from>
    <xdr:to>
      <xdr:col>6</xdr:col>
      <xdr:colOff>188687</xdr:colOff>
      <xdr:row>91</xdr:row>
      <xdr:rowOff>177346</xdr:rowOff>
    </xdr:to>
    <xdr:sp macro="" textlink="">
      <xdr:nvSpPr>
        <xdr:cNvPr id="26" name="TextBox 25" descr="10 dB(A) lower than SPL when Train Tail Passes Microphone&#10;">
          <a:extLst>
            <a:ext uri="{FF2B5EF4-FFF2-40B4-BE49-F238E27FC236}">
              <a16:creationId xmlns:a16="http://schemas.microsoft.com/office/drawing/2014/main" id="{00000000-0008-0000-0D00-00001A000000}"/>
            </a:ext>
          </a:extLst>
        </xdr:cNvPr>
        <xdr:cNvSpPr txBox="1"/>
      </xdr:nvSpPr>
      <xdr:spPr>
        <a:xfrm>
          <a:off x="3236687" y="17379496"/>
          <a:ext cx="19812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editAs="oneCell">
    <xdr:from>
      <xdr:col>6</xdr:col>
      <xdr:colOff>372269</xdr:colOff>
      <xdr:row>29</xdr:row>
      <xdr:rowOff>130969</xdr:rowOff>
    </xdr:from>
    <xdr:to>
      <xdr:col>14</xdr:col>
      <xdr:colOff>512985</xdr:colOff>
      <xdr:row>69</xdr:row>
      <xdr:rowOff>47625</xdr:rowOff>
    </xdr:to>
    <xdr:pic>
      <xdr:nvPicPr>
        <xdr:cNvPr id="2" name="Picture 1" descr="Plot of Pass-by Noise Data, Including Key Time Parameters">
          <a:extLst>
            <a:ext uri="{FF2B5EF4-FFF2-40B4-BE49-F238E27FC236}">
              <a16:creationId xmlns:a16="http://schemas.microsoft.com/office/drawing/2014/main" id="{D782307F-D090-45EB-9BD3-65DAC338250E}"/>
            </a:ext>
          </a:extLst>
        </xdr:cNvPr>
        <xdr:cNvPicPr>
          <a:picLocks noChangeAspect="1"/>
        </xdr:cNvPicPr>
      </xdr:nvPicPr>
      <xdr:blipFill>
        <a:blip xmlns:r="http://schemas.openxmlformats.org/officeDocument/2006/relationships" r:embed="rId4"/>
        <a:stretch>
          <a:fillRect/>
        </a:stretch>
      </xdr:blipFill>
      <xdr:spPr>
        <a:xfrm>
          <a:off x="5658644" y="5738813"/>
          <a:ext cx="9796685" cy="75366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425450</xdr:colOff>
      <xdr:row>28</xdr:row>
      <xdr:rowOff>198967</xdr:rowOff>
    </xdr:to>
    <xdr:pic>
      <xdr:nvPicPr>
        <xdr:cNvPr id="2" name="Picture 1" descr="LpAeq,Tp is the A-weighted equivalent continuous sound pressure level produced by the train as measured during the pass-by event ">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rcRect/>
        <a:stretch>
          <a:fillRect/>
        </a:stretch>
      </xdr:blipFill>
      <xdr:spPr bwMode="auto">
        <a:xfrm>
          <a:off x="1219200" y="5105400"/>
          <a:ext cx="3819525" cy="833967"/>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3" name="Picture 1" descr="LpAeq,Tp can be calculated from the pass-by data using the following relationship">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6442596"/>
          <a:ext cx="3169407" cy="864137"/>
        </a:xfrm>
        <a:prstGeom prst="rect">
          <a:avLst/>
        </a:prstGeom>
        <a:noFill/>
        <a:ln w="1">
          <a:noFill/>
          <a:miter lim="800000"/>
          <a:headEnd/>
          <a:tailEnd type="none" w="med" len="med"/>
        </a:ln>
        <a:effectLst/>
      </xdr:spPr>
    </xdr:pic>
    <xdr:clientData/>
  </xdr:twoCellAnchor>
  <xdr:twoCellAnchor editAs="oneCell">
    <xdr:from>
      <xdr:col>10</xdr:col>
      <xdr:colOff>419100</xdr:colOff>
      <xdr:row>56</xdr:row>
      <xdr:rowOff>38100</xdr:rowOff>
    </xdr:from>
    <xdr:to>
      <xdr:col>11</xdr:col>
      <xdr:colOff>683684</xdr:colOff>
      <xdr:row>59</xdr:row>
      <xdr:rowOff>28228</xdr:rowOff>
    </xdr:to>
    <xdr:pic>
      <xdr:nvPicPr>
        <xdr:cNvPr id="4" name="Picture 3" descr="Data Point Number for Start of Pass-by Event (time at which train nose passes microphon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1544300"/>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58</xdr:row>
      <xdr:rowOff>123825</xdr:rowOff>
    </xdr:from>
    <xdr:to>
      <xdr:col>4</xdr:col>
      <xdr:colOff>430742</xdr:colOff>
      <xdr:row>62</xdr:row>
      <xdr:rowOff>67733</xdr:rowOff>
    </xdr:to>
    <xdr:pic>
      <xdr:nvPicPr>
        <xdr:cNvPr id="5" name="Picture 9" descr="Data Point Number for End of Pass-by Event (time at which train tail passes microphone)">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2011025"/>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541414</xdr:colOff>
      <xdr:row>5</xdr:row>
      <xdr:rowOff>6350</xdr:rowOff>
    </xdr:to>
    <xdr:pic>
      <xdr:nvPicPr>
        <xdr:cNvPr id="6" name="Picture 5" descr="us department of transportation/federal railroad administration log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6375" y="365615"/>
          <a:ext cx="3678314"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477042</xdr:colOff>
      <xdr:row>4</xdr:row>
      <xdr:rowOff>165086</xdr:rowOff>
    </xdr:to>
    <xdr:pic>
      <xdr:nvPicPr>
        <xdr:cNvPr id="7" name="Picture 6" descr="ricardo logo">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1925" y="328084"/>
          <a:ext cx="829467" cy="595827"/>
        </a:xfrm>
        <a:prstGeom prst="rect">
          <a:avLst/>
        </a:prstGeom>
        <a:noFill/>
        <a:ln w="1">
          <a:noFill/>
          <a:miter lim="800000"/>
          <a:headEnd/>
          <a:tailEnd type="none" w="med" len="med"/>
        </a:ln>
        <a:effectLst/>
      </xdr:spPr>
    </xdr:pic>
    <xdr:clientData/>
  </xdr:twoCellAnchor>
  <xdr:twoCellAnchor editAs="oneCell">
    <xdr:from>
      <xdr:col>10</xdr:col>
      <xdr:colOff>419100</xdr:colOff>
      <xdr:row>98</xdr:row>
      <xdr:rowOff>38100</xdr:rowOff>
    </xdr:from>
    <xdr:to>
      <xdr:col>11</xdr:col>
      <xdr:colOff>683684</xdr:colOff>
      <xdr:row>100</xdr:row>
      <xdr:rowOff>173220</xdr:rowOff>
    </xdr:to>
    <xdr:pic>
      <xdr:nvPicPr>
        <xdr:cNvPr id="8" name="Picture 7" descr="Data Point Number for Start of Pass-by Event (time at which train nose passes microphon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9878675"/>
          <a:ext cx="1228725" cy="554220"/>
        </a:xfrm>
        <a:prstGeom prst="rect">
          <a:avLst/>
        </a:prstGeom>
        <a:noFill/>
        <a:ln w="1">
          <a:noFill/>
          <a:miter lim="800000"/>
          <a:headEnd/>
          <a:tailEnd type="none" w="med" len="med"/>
        </a:ln>
        <a:effectLst/>
      </xdr:spPr>
    </xdr:pic>
    <xdr:clientData/>
  </xdr:twoCellAnchor>
  <xdr:twoCellAnchor editAs="oneCell">
    <xdr:from>
      <xdr:col>1</xdr:col>
      <xdr:colOff>807508</xdr:colOff>
      <xdr:row>100</xdr:row>
      <xdr:rowOff>123824</xdr:rowOff>
    </xdr:from>
    <xdr:to>
      <xdr:col>4</xdr:col>
      <xdr:colOff>600075</xdr:colOff>
      <xdr:row>104</xdr:row>
      <xdr:rowOff>31747</xdr:rowOff>
    </xdr:to>
    <xdr:pic>
      <xdr:nvPicPr>
        <xdr:cNvPr id="9" name="Picture 9" descr="Data Point Number for End of Pass-by Event (time at which train tail passes microphone)">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17108" y="20383499"/>
          <a:ext cx="2113492" cy="704849"/>
        </a:xfrm>
        <a:prstGeom prst="rect">
          <a:avLst/>
        </a:prstGeom>
        <a:noFill/>
        <a:ln w="1">
          <a:noFill/>
          <a:miter lim="800000"/>
          <a:headEnd/>
          <a:tailEnd type="none" w="med" len="med"/>
        </a:ln>
        <a:effectLst/>
      </xdr:spPr>
    </xdr:pic>
    <xdr:clientData/>
  </xdr:twoCellAnchor>
  <xdr:twoCellAnchor editAs="oneCell">
    <xdr:from>
      <xdr:col>14</xdr:col>
      <xdr:colOff>497417</xdr:colOff>
      <xdr:row>138</xdr:row>
      <xdr:rowOff>158749</xdr:rowOff>
    </xdr:from>
    <xdr:to>
      <xdr:col>20</xdr:col>
      <xdr:colOff>351367</xdr:colOff>
      <xdr:row>151</xdr:row>
      <xdr:rowOff>66674</xdr:rowOff>
    </xdr:to>
    <xdr:pic>
      <xdr:nvPicPr>
        <xdr:cNvPr id="10" name="Picture 23" descr="Ricardo calculated the K factor values for 12 pass-by noise data sets">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525250" y="28500916"/>
          <a:ext cx="4581525" cy="275907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333375</xdr:colOff>
      <xdr:row>10</xdr:row>
      <xdr:rowOff>20986</xdr:rowOff>
    </xdr:from>
    <xdr:to>
      <xdr:col>5</xdr:col>
      <xdr:colOff>1625600</xdr:colOff>
      <xdr:row>20</xdr:row>
      <xdr:rowOff>149734</xdr:rowOff>
    </xdr:to>
    <xdr:pic>
      <xdr:nvPicPr>
        <xdr:cNvPr id="3" name="Picture 1" descr="china crh3 series train">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2975" y="1925986"/>
          <a:ext cx="3733800" cy="2043273"/>
        </a:xfrm>
        <a:prstGeom prst="rect">
          <a:avLst/>
        </a:prstGeom>
        <a:noFill/>
        <a:ln w="1">
          <a:noFill/>
          <a:miter lim="800000"/>
          <a:headEnd/>
          <a:tailEnd type="none" w="med" len="med"/>
        </a:ln>
        <a:effectLst/>
      </xdr:spPr>
    </xdr:pic>
    <xdr:clientData/>
  </xdr:twoCellAnchor>
  <xdr:twoCellAnchor>
    <xdr:from>
      <xdr:col>4</xdr:col>
      <xdr:colOff>266701</xdr:colOff>
      <xdr:row>18</xdr:row>
      <xdr:rowOff>142875</xdr:rowOff>
    </xdr:from>
    <xdr:to>
      <xdr:col>5</xdr:col>
      <xdr:colOff>1257301</xdr:colOff>
      <xdr:row>20</xdr:row>
      <xdr:rowOff>38100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05101" y="3581400"/>
          <a:ext cx="16002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China CRH3 Series Train</a:t>
          </a:r>
          <a:r>
            <a:rPr lang="en-US" sz="1100" baseline="30000"/>
            <a:t>2</a:t>
          </a:r>
          <a:endParaRPr lang="en-US" sz="1100"/>
        </a:p>
      </xdr:txBody>
    </xdr:sp>
    <xdr:clientData/>
  </xdr:twoCellAnchor>
  <xdr:twoCellAnchor editAs="oneCell">
    <xdr:from>
      <xdr:col>2</xdr:col>
      <xdr:colOff>50800</xdr:colOff>
      <xdr:row>1</xdr:row>
      <xdr:rowOff>8956</xdr:rowOff>
    </xdr:from>
    <xdr:to>
      <xdr:col>6</xdr:col>
      <xdr:colOff>573164</xdr:colOff>
      <xdr:row>4</xdr:row>
      <xdr:rowOff>16933</xdr:rowOff>
    </xdr:to>
    <xdr:pic>
      <xdr:nvPicPr>
        <xdr:cNvPr id="5" name="Picture 4" descr="us department of transportation/federal railroad administration">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20800" y="188873"/>
          <a:ext cx="4501697" cy="547727"/>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188117</xdr:colOff>
      <xdr:row>4</xdr:row>
      <xdr:rowOff>3160</xdr:rowOff>
    </xdr:to>
    <xdr:pic>
      <xdr:nvPicPr>
        <xdr:cNvPr id="6" name="Picture 5" descr="ricardo logo">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611225" y="152400"/>
          <a:ext cx="826292" cy="595827"/>
        </a:xfrm>
        <a:prstGeom prst="rect">
          <a:avLst/>
        </a:prstGeom>
        <a:noFill/>
        <a:ln w="1">
          <a:noFill/>
          <a:miter lim="800000"/>
          <a:headEnd/>
          <a:tailEnd type="none" w="med" len="med"/>
        </a:ln>
        <a:effectLst/>
      </xdr:spPr>
    </xdr:pic>
    <xdr:clientData/>
  </xdr:twoCellAnchor>
  <xdr:twoCellAnchor>
    <xdr:from>
      <xdr:col>5</xdr:col>
      <xdr:colOff>190501</xdr:colOff>
      <xdr:row>29</xdr:row>
      <xdr:rowOff>149226</xdr:rowOff>
    </xdr:from>
    <xdr:to>
      <xdr:col>6</xdr:col>
      <xdr:colOff>190501</xdr:colOff>
      <xdr:row>31</xdr:row>
      <xdr:rowOff>32810</xdr:rowOff>
    </xdr:to>
    <xdr:sp macro="" textlink="">
      <xdr:nvSpPr>
        <xdr:cNvPr id="7" name="TextBox 6" descr="Train Nose Passes Microphone&#10;">
          <a:extLst>
            <a:ext uri="{FF2B5EF4-FFF2-40B4-BE49-F238E27FC236}">
              <a16:creationId xmlns:a16="http://schemas.microsoft.com/office/drawing/2014/main" id="{00000000-0008-0000-0F00-000007000000}"/>
            </a:ext>
          </a:extLst>
        </xdr:cNvPr>
        <xdr:cNvSpPr txBox="1"/>
      </xdr:nvSpPr>
      <xdr:spPr>
        <a:xfrm>
          <a:off x="3238501" y="6016626"/>
          <a:ext cx="1981200"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30</xdr:row>
      <xdr:rowOff>85725</xdr:rowOff>
    </xdr:from>
    <xdr:to>
      <xdr:col>5</xdr:col>
      <xdr:colOff>211668</xdr:colOff>
      <xdr:row>30</xdr:row>
      <xdr:rowOff>85725</xdr:rowOff>
    </xdr:to>
    <xdr:cxnSp macro="">
      <xdr:nvCxnSpPr>
        <xdr:cNvPr id="8" name="Straight Arrow Connector 7" descr="arrow">
          <a:extLst>
            <a:ext uri="{FF2B5EF4-FFF2-40B4-BE49-F238E27FC236}">
              <a16:creationId xmlns:a16="http://schemas.microsoft.com/office/drawing/2014/main" id="{00000000-0008-0000-0F00-000008000000}"/>
            </a:ext>
          </a:extLst>
        </xdr:cNvPr>
        <xdr:cNvCxnSpPr/>
      </xdr:nvCxnSpPr>
      <xdr:spPr>
        <a:xfrm flipH="1" flipV="1">
          <a:off x="3058584" y="614362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17727</xdr:colOff>
      <xdr:row>53</xdr:row>
      <xdr:rowOff>104132</xdr:rowOff>
    </xdr:from>
    <xdr:to>
      <xdr:col>5</xdr:col>
      <xdr:colOff>216430</xdr:colOff>
      <xdr:row>53</xdr:row>
      <xdr:rowOff>104132</xdr:rowOff>
    </xdr:to>
    <xdr:cxnSp macro="">
      <xdr:nvCxnSpPr>
        <xdr:cNvPr id="9" name="Straight Arrow Connector 8" descr="arrow">
          <a:extLst>
            <a:ext uri="{FF2B5EF4-FFF2-40B4-BE49-F238E27FC236}">
              <a16:creationId xmlns:a16="http://schemas.microsoft.com/office/drawing/2014/main" id="{00000000-0008-0000-0F00-000009000000}"/>
            </a:ext>
          </a:extLst>
        </xdr:cNvPr>
        <xdr:cNvCxnSpPr/>
      </xdr:nvCxnSpPr>
      <xdr:spPr>
        <a:xfrm flipH="1" flipV="1">
          <a:off x="3053821" y="10545913"/>
          <a:ext cx="19870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10432</xdr:colOff>
      <xdr:row>73</xdr:row>
      <xdr:rowOff>91962</xdr:rowOff>
    </xdr:from>
    <xdr:to>
      <xdr:col>5</xdr:col>
      <xdr:colOff>208795</xdr:colOff>
      <xdr:row>73</xdr:row>
      <xdr:rowOff>91962</xdr:rowOff>
    </xdr:to>
    <xdr:cxnSp macro="">
      <xdr:nvCxnSpPr>
        <xdr:cNvPr id="10" name="Straight Arrow Connector 9" descr="arrow">
          <a:extLst>
            <a:ext uri="{FF2B5EF4-FFF2-40B4-BE49-F238E27FC236}">
              <a16:creationId xmlns:a16="http://schemas.microsoft.com/office/drawing/2014/main" id="{00000000-0008-0000-0F00-00000A000000}"/>
            </a:ext>
          </a:extLst>
        </xdr:cNvPr>
        <xdr:cNvCxnSpPr/>
      </xdr:nvCxnSpPr>
      <xdr:spPr>
        <a:xfrm flipH="1" flipV="1">
          <a:off x="3046526" y="14343743"/>
          <a:ext cx="19836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16972</xdr:colOff>
      <xdr:row>93</xdr:row>
      <xdr:rowOff>77598</xdr:rowOff>
    </xdr:from>
    <xdr:to>
      <xdr:col>5</xdr:col>
      <xdr:colOff>215675</xdr:colOff>
      <xdr:row>93</xdr:row>
      <xdr:rowOff>77598</xdr:rowOff>
    </xdr:to>
    <xdr:cxnSp macro="">
      <xdr:nvCxnSpPr>
        <xdr:cNvPr id="11" name="Straight Arrow Connector 10" descr="arrow">
          <a:extLst>
            <a:ext uri="{FF2B5EF4-FFF2-40B4-BE49-F238E27FC236}">
              <a16:creationId xmlns:a16="http://schemas.microsoft.com/office/drawing/2014/main" id="{00000000-0008-0000-0F00-00000B000000}"/>
            </a:ext>
          </a:extLst>
        </xdr:cNvPr>
        <xdr:cNvCxnSpPr/>
      </xdr:nvCxnSpPr>
      <xdr:spPr>
        <a:xfrm flipH="1" flipV="1">
          <a:off x="3053066" y="18139379"/>
          <a:ext cx="19870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174096</xdr:colOff>
      <xdr:row>52</xdr:row>
      <xdr:rowOff>179538</xdr:rowOff>
    </xdr:from>
    <xdr:to>
      <xdr:col>6</xdr:col>
      <xdr:colOff>300038</xdr:colOff>
      <xdr:row>54</xdr:row>
      <xdr:rowOff>63122</xdr:rowOff>
    </xdr:to>
    <xdr:sp macro="" textlink="">
      <xdr:nvSpPr>
        <xdr:cNvPr id="12" name="TextBox 11" descr="Start Time for LpASmax Calculation&#10;">
          <a:extLst>
            <a:ext uri="{FF2B5EF4-FFF2-40B4-BE49-F238E27FC236}">
              <a16:creationId xmlns:a16="http://schemas.microsoft.com/office/drawing/2014/main" id="{00000000-0008-0000-0F00-00000C000000}"/>
            </a:ext>
          </a:extLst>
        </xdr:cNvPr>
        <xdr:cNvSpPr txBox="1"/>
      </xdr:nvSpPr>
      <xdr:spPr>
        <a:xfrm>
          <a:off x="3210190" y="10430819"/>
          <a:ext cx="2102379"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Start Time for L</a:t>
          </a:r>
          <a:r>
            <a:rPr lang="en-US" sz="1100" baseline="-25000">
              <a:solidFill>
                <a:sysClr val="windowText" lastClr="000000"/>
              </a:solidFill>
            </a:rPr>
            <a:t>pASmax</a:t>
          </a:r>
          <a:r>
            <a:rPr lang="en-US" sz="1100" baseline="0">
              <a:solidFill>
                <a:sysClr val="windowText" lastClr="000000"/>
              </a:solidFill>
            </a:rPr>
            <a:t> Calculation</a:t>
          </a:r>
          <a:endParaRPr lang="en-US" sz="1100">
            <a:solidFill>
              <a:sysClr val="windowText" lastClr="000000"/>
            </a:solidFill>
          </a:endParaRPr>
        </a:p>
      </xdr:txBody>
    </xdr:sp>
    <xdr:clientData/>
  </xdr:twoCellAnchor>
  <xdr:twoCellAnchor>
    <xdr:from>
      <xdr:col>5</xdr:col>
      <xdr:colOff>225728</xdr:colOff>
      <xdr:row>72</xdr:row>
      <xdr:rowOff>172395</xdr:rowOff>
    </xdr:from>
    <xdr:to>
      <xdr:col>6</xdr:col>
      <xdr:colOff>871311</xdr:colOff>
      <xdr:row>74</xdr:row>
      <xdr:rowOff>92869</xdr:rowOff>
    </xdr:to>
    <xdr:sp macro="" textlink="">
      <xdr:nvSpPr>
        <xdr:cNvPr id="13" name="TextBox 12" descr="End Time for LpASmax Calculation&#10;">
          <a:extLst>
            <a:ext uri="{FF2B5EF4-FFF2-40B4-BE49-F238E27FC236}">
              <a16:creationId xmlns:a16="http://schemas.microsoft.com/office/drawing/2014/main" id="{00000000-0008-0000-0F00-00000D000000}"/>
            </a:ext>
          </a:extLst>
        </xdr:cNvPr>
        <xdr:cNvSpPr txBox="1"/>
      </xdr:nvSpPr>
      <xdr:spPr>
        <a:xfrm>
          <a:off x="3261822" y="14233676"/>
          <a:ext cx="2622020" cy="301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End Time for L</a:t>
          </a:r>
          <a:r>
            <a:rPr lang="en-US" sz="1100" baseline="-25000">
              <a:solidFill>
                <a:sysClr val="windowText" lastClr="000000"/>
              </a:solidFill>
            </a:rPr>
            <a:t>pASmax</a:t>
          </a:r>
          <a:r>
            <a:rPr lang="en-US" sz="1100" baseline="0">
              <a:solidFill>
                <a:sysClr val="windowText" lastClr="000000"/>
              </a:solidFill>
            </a:rPr>
            <a:t> Calculation</a:t>
          </a:r>
        </a:p>
      </xdr:txBody>
    </xdr:sp>
    <xdr:clientData/>
  </xdr:twoCellAnchor>
  <xdr:twoCellAnchor>
    <xdr:from>
      <xdr:col>5</xdr:col>
      <xdr:colOff>187854</xdr:colOff>
      <xdr:row>22</xdr:row>
      <xdr:rowOff>174814</xdr:rowOff>
    </xdr:from>
    <xdr:to>
      <xdr:col>5</xdr:col>
      <xdr:colOff>1833562</xdr:colOff>
      <xdr:row>26</xdr:row>
      <xdr:rowOff>28575</xdr:rowOff>
    </xdr:to>
    <xdr:sp macro="" textlink="">
      <xdr:nvSpPr>
        <xdr:cNvPr id="14" name="TextBox 13" descr="10 dB(A) lower than SPL when Train Nose Passes Microphone&#10;">
          <a:extLst>
            <a:ext uri="{FF2B5EF4-FFF2-40B4-BE49-F238E27FC236}">
              <a16:creationId xmlns:a16="http://schemas.microsoft.com/office/drawing/2014/main" id="{00000000-0008-0000-0F00-00000E000000}"/>
            </a:ext>
          </a:extLst>
        </xdr:cNvPr>
        <xdr:cNvSpPr txBox="1"/>
      </xdr:nvSpPr>
      <xdr:spPr>
        <a:xfrm>
          <a:off x="3223948" y="4675377"/>
          <a:ext cx="1645708" cy="651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34395</xdr:colOff>
      <xdr:row>23</xdr:row>
      <xdr:rowOff>95704</xdr:rowOff>
    </xdr:from>
    <xdr:to>
      <xdr:col>5</xdr:col>
      <xdr:colOff>235479</xdr:colOff>
      <xdr:row>23</xdr:row>
      <xdr:rowOff>95704</xdr:rowOff>
    </xdr:to>
    <xdr:cxnSp macro="">
      <xdr:nvCxnSpPr>
        <xdr:cNvPr id="15" name="Straight Arrow Connector 14" descr="arrow">
          <a:extLst>
            <a:ext uri="{FF2B5EF4-FFF2-40B4-BE49-F238E27FC236}">
              <a16:creationId xmlns:a16="http://schemas.microsoft.com/office/drawing/2014/main" id="{00000000-0008-0000-0F00-00000F000000}"/>
            </a:ext>
          </a:extLst>
        </xdr:cNvPr>
        <xdr:cNvCxnSpPr/>
      </xdr:nvCxnSpPr>
      <xdr:spPr>
        <a:xfrm flipH="1" flipV="1">
          <a:off x="3070489" y="482248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608239</xdr:colOff>
      <xdr:row>82</xdr:row>
      <xdr:rowOff>84970</xdr:rowOff>
    </xdr:from>
    <xdr:to>
      <xdr:col>5</xdr:col>
      <xdr:colOff>199723</xdr:colOff>
      <xdr:row>82</xdr:row>
      <xdr:rowOff>84970</xdr:rowOff>
    </xdr:to>
    <xdr:cxnSp macro="">
      <xdr:nvCxnSpPr>
        <xdr:cNvPr id="16" name="Straight Arrow Connector 15" descr="arrow">
          <a:extLst>
            <a:ext uri="{FF2B5EF4-FFF2-40B4-BE49-F238E27FC236}">
              <a16:creationId xmlns:a16="http://schemas.microsoft.com/office/drawing/2014/main" id="{00000000-0008-0000-0F00-000010000000}"/>
            </a:ext>
          </a:extLst>
        </xdr:cNvPr>
        <xdr:cNvCxnSpPr/>
      </xdr:nvCxnSpPr>
      <xdr:spPr>
        <a:xfrm flipH="1" flipV="1">
          <a:off x="3046639" y="1604887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225123</xdr:colOff>
      <xdr:row>81</xdr:row>
      <xdr:rowOff>136071</xdr:rowOff>
    </xdr:from>
    <xdr:to>
      <xdr:col>6</xdr:col>
      <xdr:colOff>225123</xdr:colOff>
      <xdr:row>83</xdr:row>
      <xdr:rowOff>27213</xdr:rowOff>
    </xdr:to>
    <xdr:sp macro="" textlink="">
      <xdr:nvSpPr>
        <xdr:cNvPr id="17" name="TextBox 16" descr="Train Tail Passes Microphone&#10;">
          <a:extLst>
            <a:ext uri="{FF2B5EF4-FFF2-40B4-BE49-F238E27FC236}">
              <a16:creationId xmlns:a16="http://schemas.microsoft.com/office/drawing/2014/main" id="{00000000-0008-0000-0F00-000011000000}"/>
            </a:ext>
          </a:extLst>
        </xdr:cNvPr>
        <xdr:cNvSpPr txBox="1"/>
      </xdr:nvSpPr>
      <xdr:spPr>
        <a:xfrm>
          <a:off x="3273123" y="15909471"/>
          <a:ext cx="1981200" cy="27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Tail Passes Microphone</a:t>
          </a:r>
          <a:endParaRPr lang="en-US" sz="1100"/>
        </a:p>
      </xdr:txBody>
    </xdr:sp>
    <xdr:clientData/>
  </xdr:twoCellAnchor>
  <xdr:twoCellAnchor>
    <xdr:from>
      <xdr:col>5</xdr:col>
      <xdr:colOff>39801</xdr:colOff>
      <xdr:row>62</xdr:row>
      <xdr:rowOff>124770</xdr:rowOff>
    </xdr:from>
    <xdr:to>
      <xdr:col>5</xdr:col>
      <xdr:colOff>240885</xdr:colOff>
      <xdr:row>62</xdr:row>
      <xdr:rowOff>124770</xdr:rowOff>
    </xdr:to>
    <xdr:cxnSp macro="">
      <xdr:nvCxnSpPr>
        <xdr:cNvPr id="18" name="Straight Arrow Connector 17" descr="arrow">
          <a:extLst>
            <a:ext uri="{FF2B5EF4-FFF2-40B4-BE49-F238E27FC236}">
              <a16:creationId xmlns:a16="http://schemas.microsoft.com/office/drawing/2014/main" id="{00000000-0008-0000-0F00-000012000000}"/>
            </a:ext>
          </a:extLst>
        </xdr:cNvPr>
        <xdr:cNvCxnSpPr/>
      </xdr:nvCxnSpPr>
      <xdr:spPr>
        <a:xfrm flipH="1" flipV="1">
          <a:off x="3075895" y="12281051"/>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266285</xdr:colOff>
      <xdr:row>61</xdr:row>
      <xdr:rowOff>175870</xdr:rowOff>
    </xdr:from>
    <xdr:to>
      <xdr:col>6</xdr:col>
      <xdr:colOff>529658</xdr:colOff>
      <xdr:row>63</xdr:row>
      <xdr:rowOff>94227</xdr:rowOff>
    </xdr:to>
    <xdr:sp macro="" textlink="">
      <xdr:nvSpPr>
        <xdr:cNvPr id="19" name="TextBox 18" descr="Maximum Sound Pressure Level&#10;">
          <a:extLst>
            <a:ext uri="{FF2B5EF4-FFF2-40B4-BE49-F238E27FC236}">
              <a16:creationId xmlns:a16="http://schemas.microsoft.com/office/drawing/2014/main" id="{00000000-0008-0000-0F00-000013000000}"/>
            </a:ext>
          </a:extLst>
        </xdr:cNvPr>
        <xdr:cNvSpPr txBox="1"/>
      </xdr:nvSpPr>
      <xdr:spPr>
        <a:xfrm>
          <a:off x="3302379" y="12141651"/>
          <a:ext cx="2239810" cy="299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Maximum Sound Pressure Level</a:t>
          </a:r>
          <a:endParaRPr lang="en-US" sz="1100">
            <a:solidFill>
              <a:sysClr val="windowText" lastClr="000000"/>
            </a:solidFill>
          </a:endParaRPr>
        </a:p>
      </xdr:txBody>
    </xdr:sp>
    <xdr:clientData/>
  </xdr:twoCellAnchor>
  <xdr:twoCellAnchor>
    <xdr:from>
      <xdr:col>5</xdr:col>
      <xdr:colOff>200857</xdr:colOff>
      <xdr:row>92</xdr:row>
      <xdr:rowOff>63840</xdr:rowOff>
    </xdr:from>
    <xdr:to>
      <xdr:col>6</xdr:col>
      <xdr:colOff>200857</xdr:colOff>
      <xdr:row>94</xdr:row>
      <xdr:rowOff>159090</xdr:rowOff>
    </xdr:to>
    <xdr:sp macro="" textlink="">
      <xdr:nvSpPr>
        <xdr:cNvPr id="26" name="TextBox 25" descr="10 dB(A) lower than SPL when Train Tail Passes Microphone&#10;">
          <a:extLst>
            <a:ext uri="{FF2B5EF4-FFF2-40B4-BE49-F238E27FC236}">
              <a16:creationId xmlns:a16="http://schemas.microsoft.com/office/drawing/2014/main" id="{00000000-0008-0000-0F00-00001A000000}"/>
            </a:ext>
          </a:extLst>
        </xdr:cNvPr>
        <xdr:cNvSpPr txBox="1"/>
      </xdr:nvSpPr>
      <xdr:spPr>
        <a:xfrm>
          <a:off x="3375857" y="17589840"/>
          <a:ext cx="2074333" cy="455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editAs="oneCell">
    <xdr:from>
      <xdr:col>6</xdr:col>
      <xdr:colOff>468842</xdr:colOff>
      <xdr:row>29</xdr:row>
      <xdr:rowOff>102658</xdr:rowOff>
    </xdr:from>
    <xdr:to>
      <xdr:col>14</xdr:col>
      <xdr:colOff>811202</xdr:colOff>
      <xdr:row>66</xdr:row>
      <xdr:rowOff>7409</xdr:rowOff>
    </xdr:to>
    <xdr:pic>
      <xdr:nvPicPr>
        <xdr:cNvPr id="2" name="Picture 1" descr="Plot of Passby Noise Data, Including Key Time Parameters">
          <a:extLst>
            <a:ext uri="{FF2B5EF4-FFF2-40B4-BE49-F238E27FC236}">
              <a16:creationId xmlns:a16="http://schemas.microsoft.com/office/drawing/2014/main" id="{CF987403-BD21-4D4E-9976-0E7B80376350}"/>
            </a:ext>
          </a:extLst>
        </xdr:cNvPr>
        <xdr:cNvPicPr>
          <a:picLocks noChangeAspect="1"/>
        </xdr:cNvPicPr>
      </xdr:nvPicPr>
      <xdr:blipFill>
        <a:blip xmlns:r="http://schemas.openxmlformats.org/officeDocument/2006/relationships" r:embed="rId4"/>
        <a:stretch>
          <a:fillRect/>
        </a:stretch>
      </xdr:blipFill>
      <xdr:spPr>
        <a:xfrm>
          <a:off x="5718175" y="5732991"/>
          <a:ext cx="10018702" cy="69564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425450</xdr:colOff>
      <xdr:row>28</xdr:row>
      <xdr:rowOff>198967</xdr:rowOff>
    </xdr:to>
    <xdr:pic>
      <xdr:nvPicPr>
        <xdr:cNvPr id="2" name="Picture 1" descr="LpAeq,Tp is the A-weighted equivalent continuous sound pressure level produced by the train as measured during the passby event ">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srcRect/>
        <a:stretch>
          <a:fillRect/>
        </a:stretch>
      </xdr:blipFill>
      <xdr:spPr bwMode="auto">
        <a:xfrm>
          <a:off x="1219200" y="5105400"/>
          <a:ext cx="3819525" cy="833967"/>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3" name="Picture 1" descr="LpAeq,Tp can be calculated from the passby data using the following relationship">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6442596"/>
          <a:ext cx="3169407" cy="864137"/>
        </a:xfrm>
        <a:prstGeom prst="rect">
          <a:avLst/>
        </a:prstGeom>
        <a:noFill/>
        <a:ln w="1">
          <a:noFill/>
          <a:miter lim="800000"/>
          <a:headEnd/>
          <a:tailEnd type="none" w="med" len="med"/>
        </a:ln>
        <a:effectLst/>
      </xdr:spPr>
    </xdr:pic>
    <xdr:clientData/>
  </xdr:twoCellAnchor>
  <xdr:twoCellAnchor editAs="oneCell">
    <xdr:from>
      <xdr:col>10</xdr:col>
      <xdr:colOff>419100</xdr:colOff>
      <xdr:row>56</xdr:row>
      <xdr:rowOff>38100</xdr:rowOff>
    </xdr:from>
    <xdr:to>
      <xdr:col>11</xdr:col>
      <xdr:colOff>704850</xdr:colOff>
      <xdr:row>59</xdr:row>
      <xdr:rowOff>28228</xdr:rowOff>
    </xdr:to>
    <xdr:pic>
      <xdr:nvPicPr>
        <xdr:cNvPr id="4" name="Picture 3" descr="Data Point Number for Start of Passby Event (time at which train nose passes microphon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1544300"/>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58</xdr:row>
      <xdr:rowOff>123825</xdr:rowOff>
    </xdr:from>
    <xdr:to>
      <xdr:col>4</xdr:col>
      <xdr:colOff>430742</xdr:colOff>
      <xdr:row>62</xdr:row>
      <xdr:rowOff>67733</xdr:rowOff>
    </xdr:to>
    <xdr:pic>
      <xdr:nvPicPr>
        <xdr:cNvPr id="5" name="Picture 9" descr="Data Point Number for End of Passby Event (time at which train tail passes microphone)">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2011025"/>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541414</xdr:colOff>
      <xdr:row>5</xdr:row>
      <xdr:rowOff>6350</xdr:rowOff>
    </xdr:to>
    <xdr:pic>
      <xdr:nvPicPr>
        <xdr:cNvPr id="6" name="Picture 5" descr="us department of transportation/federal railroad administration logo">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6375" y="365615"/>
          <a:ext cx="3678314"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477042</xdr:colOff>
      <xdr:row>4</xdr:row>
      <xdr:rowOff>165086</xdr:rowOff>
    </xdr:to>
    <xdr:pic>
      <xdr:nvPicPr>
        <xdr:cNvPr id="7" name="Picture 6" descr="ricardo logo&#10;">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1925" y="328084"/>
          <a:ext cx="829467" cy="595827"/>
        </a:xfrm>
        <a:prstGeom prst="rect">
          <a:avLst/>
        </a:prstGeom>
        <a:noFill/>
        <a:ln w="1">
          <a:noFill/>
          <a:miter lim="800000"/>
          <a:headEnd/>
          <a:tailEnd type="none" w="med" len="med"/>
        </a:ln>
        <a:effectLst/>
      </xdr:spPr>
    </xdr:pic>
    <xdr:clientData/>
  </xdr:twoCellAnchor>
  <xdr:twoCellAnchor editAs="oneCell">
    <xdr:from>
      <xdr:col>10</xdr:col>
      <xdr:colOff>419100</xdr:colOff>
      <xdr:row>98</xdr:row>
      <xdr:rowOff>38100</xdr:rowOff>
    </xdr:from>
    <xdr:to>
      <xdr:col>11</xdr:col>
      <xdr:colOff>704850</xdr:colOff>
      <xdr:row>100</xdr:row>
      <xdr:rowOff>173220</xdr:rowOff>
    </xdr:to>
    <xdr:pic>
      <xdr:nvPicPr>
        <xdr:cNvPr id="8" name="Picture 7" descr="Data Point Number for Start of Passby Event (time at which train nose passes microphone)">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9878675"/>
          <a:ext cx="1228725" cy="554220"/>
        </a:xfrm>
        <a:prstGeom prst="rect">
          <a:avLst/>
        </a:prstGeom>
        <a:noFill/>
        <a:ln w="1">
          <a:noFill/>
          <a:miter lim="800000"/>
          <a:headEnd/>
          <a:tailEnd type="none" w="med" len="med"/>
        </a:ln>
        <a:effectLst/>
      </xdr:spPr>
    </xdr:pic>
    <xdr:clientData/>
  </xdr:twoCellAnchor>
  <xdr:twoCellAnchor editAs="oneCell">
    <xdr:from>
      <xdr:col>1</xdr:col>
      <xdr:colOff>807508</xdr:colOff>
      <xdr:row>100</xdr:row>
      <xdr:rowOff>123824</xdr:rowOff>
    </xdr:from>
    <xdr:to>
      <xdr:col>4</xdr:col>
      <xdr:colOff>600075</xdr:colOff>
      <xdr:row>104</xdr:row>
      <xdr:rowOff>31747</xdr:rowOff>
    </xdr:to>
    <xdr:pic>
      <xdr:nvPicPr>
        <xdr:cNvPr id="9" name="Picture 9" descr="Data Point Number for End of Passby Event (time at which train tail passes microphone)">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17108" y="20383499"/>
          <a:ext cx="2113492" cy="704849"/>
        </a:xfrm>
        <a:prstGeom prst="rect">
          <a:avLst/>
        </a:prstGeom>
        <a:noFill/>
        <a:ln w="1">
          <a:noFill/>
          <a:miter lim="800000"/>
          <a:headEnd/>
          <a:tailEnd type="none" w="med" len="med"/>
        </a:ln>
        <a:effectLst/>
      </xdr:spPr>
    </xdr:pic>
    <xdr:clientData/>
  </xdr:twoCellAnchor>
  <xdr:twoCellAnchor editAs="oneCell">
    <xdr:from>
      <xdr:col>14</xdr:col>
      <xdr:colOff>592667</xdr:colOff>
      <xdr:row>139</xdr:row>
      <xdr:rowOff>10584</xdr:rowOff>
    </xdr:from>
    <xdr:to>
      <xdr:col>20</xdr:col>
      <xdr:colOff>446617</xdr:colOff>
      <xdr:row>150</xdr:row>
      <xdr:rowOff>430743</xdr:rowOff>
    </xdr:to>
    <xdr:pic>
      <xdr:nvPicPr>
        <xdr:cNvPr id="10" name="Picture 23" descr="The empirical factor, K, varies with train speed: it is on the order of 30 in speed range to 300 kph and up to 50 for very high speed trains, for which aerodynamic noise sources are dominant">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620500" y="28543251"/>
          <a:ext cx="4581525" cy="275907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447675</xdr:colOff>
      <xdr:row>10</xdr:row>
      <xdr:rowOff>55214</xdr:rowOff>
    </xdr:from>
    <xdr:to>
      <xdr:col>5</xdr:col>
      <xdr:colOff>1638300</xdr:colOff>
      <xdr:row>20</xdr:row>
      <xdr:rowOff>88898</xdr:rowOff>
    </xdr:to>
    <xdr:pic>
      <xdr:nvPicPr>
        <xdr:cNvPr id="2" name="Picture 1" descr="the common reference data set is a scaled version of the thalys pbka ">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7275" y="1960214"/>
          <a:ext cx="3629025" cy="1945035"/>
        </a:xfrm>
        <a:prstGeom prst="rect">
          <a:avLst/>
        </a:prstGeom>
        <a:noFill/>
        <a:ln w="1">
          <a:noFill/>
          <a:miter lim="800000"/>
          <a:headEnd/>
          <a:tailEnd type="none" w="med" len="med"/>
        </a:ln>
        <a:effectLst/>
      </xdr:spPr>
    </xdr:pic>
    <xdr:clientData/>
  </xdr:twoCellAnchor>
  <xdr:twoCellAnchor>
    <xdr:from>
      <xdr:col>1</xdr:col>
      <xdr:colOff>466727</xdr:colOff>
      <xdr:row>10</xdr:row>
      <xdr:rowOff>123825</xdr:rowOff>
    </xdr:from>
    <xdr:to>
      <xdr:col>5</xdr:col>
      <xdr:colOff>1533525</xdr:colOff>
      <xdr:row>13</xdr:row>
      <xdr:rowOff>28575</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1076327" y="2028825"/>
          <a:ext cx="3505198"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The Common Reference Data Set is a Scaled Version</a:t>
          </a:r>
          <a:r>
            <a:rPr lang="en-US" sz="1100" baseline="0"/>
            <a:t> of the </a:t>
          </a:r>
          <a:r>
            <a:rPr lang="en-US" sz="1100"/>
            <a:t>Thalys PBKA</a:t>
          </a:r>
          <a:r>
            <a:rPr lang="en-US" sz="1100" baseline="0"/>
            <a:t> (see Data Set 2).</a:t>
          </a:r>
          <a:endParaRPr lang="en-US" sz="1100"/>
        </a:p>
      </xdr:txBody>
    </xdr:sp>
    <xdr:clientData/>
  </xdr:twoCellAnchor>
  <xdr:twoCellAnchor editAs="oneCell">
    <xdr:from>
      <xdr:col>2</xdr:col>
      <xdr:colOff>19050</xdr:colOff>
      <xdr:row>0</xdr:row>
      <xdr:rowOff>175115</xdr:rowOff>
    </xdr:from>
    <xdr:to>
      <xdr:col>6</xdr:col>
      <xdr:colOff>541414</xdr:colOff>
      <xdr:row>4</xdr:row>
      <xdr:rowOff>6350</xdr:rowOff>
    </xdr:to>
    <xdr:pic>
      <xdr:nvPicPr>
        <xdr:cNvPr id="4" name="Picture 3" descr="us department of transportation/federal railroad administration logo">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0" y="175115"/>
          <a:ext cx="4335539" cy="596410"/>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188117</xdr:colOff>
      <xdr:row>4</xdr:row>
      <xdr:rowOff>1308</xdr:rowOff>
    </xdr:to>
    <xdr:pic>
      <xdr:nvPicPr>
        <xdr:cNvPr id="5" name="Picture 4" descr="ricardo logo">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439775" y="152400"/>
          <a:ext cx="826292" cy="595827"/>
        </a:xfrm>
        <a:prstGeom prst="rect">
          <a:avLst/>
        </a:prstGeom>
        <a:noFill/>
        <a:ln w="1">
          <a:noFill/>
          <a:miter lim="800000"/>
          <a:headEnd/>
          <a:tailEnd type="none" w="med" len="med"/>
        </a:ln>
        <a:effectLst/>
      </xdr:spPr>
    </xdr:pic>
    <xdr:clientData/>
  </xdr:twoCellAnchor>
  <xdr:twoCellAnchor>
    <xdr:from>
      <xdr:col>5</xdr:col>
      <xdr:colOff>190501</xdr:colOff>
      <xdr:row>37</xdr:row>
      <xdr:rowOff>158751</xdr:rowOff>
    </xdr:from>
    <xdr:to>
      <xdr:col>6</xdr:col>
      <xdr:colOff>190501</xdr:colOff>
      <xdr:row>39</xdr:row>
      <xdr:rowOff>42335</xdr:rowOff>
    </xdr:to>
    <xdr:sp macro="" textlink="">
      <xdr:nvSpPr>
        <xdr:cNvPr id="6" name="TextBox 5" descr="Train Nose Passes Microphone&#10;">
          <a:extLst>
            <a:ext uri="{FF2B5EF4-FFF2-40B4-BE49-F238E27FC236}">
              <a16:creationId xmlns:a16="http://schemas.microsoft.com/office/drawing/2014/main" id="{00000000-0008-0000-1100-000006000000}"/>
            </a:ext>
          </a:extLst>
        </xdr:cNvPr>
        <xdr:cNvSpPr txBox="1"/>
      </xdr:nvSpPr>
      <xdr:spPr>
        <a:xfrm>
          <a:off x="3238501" y="7550151"/>
          <a:ext cx="1981200"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38</xdr:row>
      <xdr:rowOff>95250</xdr:rowOff>
    </xdr:from>
    <xdr:to>
      <xdr:col>5</xdr:col>
      <xdr:colOff>211668</xdr:colOff>
      <xdr:row>38</xdr:row>
      <xdr:rowOff>95250</xdr:rowOff>
    </xdr:to>
    <xdr:cxnSp macro="">
      <xdr:nvCxnSpPr>
        <xdr:cNvPr id="7" name="Straight Arrow Connector 6" descr="arrow">
          <a:extLst>
            <a:ext uri="{FF2B5EF4-FFF2-40B4-BE49-F238E27FC236}">
              <a16:creationId xmlns:a16="http://schemas.microsoft.com/office/drawing/2014/main" id="{00000000-0008-0000-1100-000007000000}"/>
            </a:ext>
          </a:extLst>
        </xdr:cNvPr>
        <xdr:cNvCxnSpPr/>
      </xdr:nvCxnSpPr>
      <xdr:spPr>
        <a:xfrm flipH="1" flipV="1">
          <a:off x="3058584" y="767715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10583</xdr:colOff>
      <xdr:row>53</xdr:row>
      <xdr:rowOff>92226</xdr:rowOff>
    </xdr:from>
    <xdr:to>
      <xdr:col>5</xdr:col>
      <xdr:colOff>211667</xdr:colOff>
      <xdr:row>53</xdr:row>
      <xdr:rowOff>92226</xdr:rowOff>
    </xdr:to>
    <xdr:cxnSp macro="">
      <xdr:nvCxnSpPr>
        <xdr:cNvPr id="8" name="Straight Arrow Connector 7" descr="arrow">
          <a:extLst>
            <a:ext uri="{FF2B5EF4-FFF2-40B4-BE49-F238E27FC236}">
              <a16:creationId xmlns:a16="http://schemas.microsoft.com/office/drawing/2014/main" id="{00000000-0008-0000-1100-000008000000}"/>
            </a:ext>
          </a:extLst>
        </xdr:cNvPr>
        <xdr:cNvCxnSpPr/>
      </xdr:nvCxnSpPr>
      <xdr:spPr>
        <a:xfrm flipH="1" flipV="1">
          <a:off x="3058583" y="10531626"/>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610507</xdr:colOff>
      <xdr:row>73</xdr:row>
      <xdr:rowOff>75293</xdr:rowOff>
    </xdr:from>
    <xdr:to>
      <xdr:col>5</xdr:col>
      <xdr:colOff>199270</xdr:colOff>
      <xdr:row>73</xdr:row>
      <xdr:rowOff>75293</xdr:rowOff>
    </xdr:to>
    <xdr:cxnSp macro="">
      <xdr:nvCxnSpPr>
        <xdr:cNvPr id="9" name="Straight Arrow Connector 8" descr="arrow">
          <a:extLst>
            <a:ext uri="{FF2B5EF4-FFF2-40B4-BE49-F238E27FC236}">
              <a16:creationId xmlns:a16="http://schemas.microsoft.com/office/drawing/2014/main" id="{00000000-0008-0000-1100-000009000000}"/>
            </a:ext>
          </a:extLst>
        </xdr:cNvPr>
        <xdr:cNvCxnSpPr/>
      </xdr:nvCxnSpPr>
      <xdr:spPr>
        <a:xfrm flipH="1" flipV="1">
          <a:off x="3048907" y="14324693"/>
          <a:ext cx="198363"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303</xdr:colOff>
      <xdr:row>91</xdr:row>
      <xdr:rowOff>89505</xdr:rowOff>
    </xdr:from>
    <xdr:to>
      <xdr:col>5</xdr:col>
      <xdr:colOff>201387</xdr:colOff>
      <xdr:row>91</xdr:row>
      <xdr:rowOff>89505</xdr:rowOff>
    </xdr:to>
    <xdr:cxnSp macro="">
      <xdr:nvCxnSpPr>
        <xdr:cNvPr id="10" name="Straight Arrow Connector 9" descr="arrow">
          <a:extLst>
            <a:ext uri="{FF2B5EF4-FFF2-40B4-BE49-F238E27FC236}">
              <a16:creationId xmlns:a16="http://schemas.microsoft.com/office/drawing/2014/main" id="{00000000-0008-0000-1100-00000A000000}"/>
            </a:ext>
          </a:extLst>
        </xdr:cNvPr>
        <xdr:cNvCxnSpPr/>
      </xdr:nvCxnSpPr>
      <xdr:spPr>
        <a:xfrm flipH="1" flipV="1">
          <a:off x="3048303" y="17767905"/>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169333</xdr:colOff>
      <xdr:row>52</xdr:row>
      <xdr:rowOff>155726</xdr:rowOff>
    </xdr:from>
    <xdr:to>
      <xdr:col>6</xdr:col>
      <xdr:colOff>295275</xdr:colOff>
      <xdr:row>54</xdr:row>
      <xdr:rowOff>39310</xdr:rowOff>
    </xdr:to>
    <xdr:sp macro="" textlink="">
      <xdr:nvSpPr>
        <xdr:cNvPr id="11" name="TextBox 10" descr="Start Time for LpASmax Calculation&#10;">
          <a:extLst>
            <a:ext uri="{FF2B5EF4-FFF2-40B4-BE49-F238E27FC236}">
              <a16:creationId xmlns:a16="http://schemas.microsoft.com/office/drawing/2014/main" id="{00000000-0008-0000-1100-00000B000000}"/>
            </a:ext>
          </a:extLst>
        </xdr:cNvPr>
        <xdr:cNvSpPr txBox="1"/>
      </xdr:nvSpPr>
      <xdr:spPr>
        <a:xfrm>
          <a:off x="3217333" y="10404626"/>
          <a:ext cx="2107142"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ysClr val="windowText" lastClr="000000"/>
              </a:solidFill>
            </a:rPr>
            <a:t>Start Time for L</a:t>
          </a:r>
          <a:r>
            <a:rPr lang="en-US" sz="1100" baseline="-25000">
              <a:solidFill>
                <a:sysClr val="windowText" lastClr="000000"/>
              </a:solidFill>
            </a:rPr>
            <a:t>pASmax</a:t>
          </a:r>
          <a:r>
            <a:rPr lang="en-US" sz="1100" baseline="0">
              <a:solidFill>
                <a:sysClr val="windowText" lastClr="000000"/>
              </a:solidFill>
            </a:rPr>
            <a:t> Calculation</a:t>
          </a:r>
          <a:endParaRPr lang="en-US" sz="1100">
            <a:solidFill>
              <a:sysClr val="windowText" lastClr="000000"/>
            </a:solidFill>
          </a:endParaRPr>
        </a:p>
      </xdr:txBody>
    </xdr:sp>
    <xdr:clientData/>
  </xdr:twoCellAnchor>
  <xdr:twoCellAnchor>
    <xdr:from>
      <xdr:col>5</xdr:col>
      <xdr:colOff>216203</xdr:colOff>
      <xdr:row>72</xdr:row>
      <xdr:rowOff>155726</xdr:rowOff>
    </xdr:from>
    <xdr:to>
      <xdr:col>6</xdr:col>
      <xdr:colOff>861786</xdr:colOff>
      <xdr:row>73</xdr:row>
      <xdr:rowOff>176893</xdr:rowOff>
    </xdr:to>
    <xdr:sp macro="" textlink="">
      <xdr:nvSpPr>
        <xdr:cNvPr id="12" name="TextBox 11" descr="End Time for LpASmax Calculation&#10;">
          <a:extLst>
            <a:ext uri="{FF2B5EF4-FFF2-40B4-BE49-F238E27FC236}">
              <a16:creationId xmlns:a16="http://schemas.microsoft.com/office/drawing/2014/main" id="{00000000-0008-0000-1100-00000C000000}"/>
            </a:ext>
          </a:extLst>
        </xdr:cNvPr>
        <xdr:cNvSpPr txBox="1"/>
      </xdr:nvSpPr>
      <xdr:spPr>
        <a:xfrm>
          <a:off x="3264203" y="14214626"/>
          <a:ext cx="2626783" cy="211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End Time for L</a:t>
          </a:r>
          <a:r>
            <a:rPr lang="en-US" sz="1100" baseline="-25000"/>
            <a:t>pASmax</a:t>
          </a:r>
          <a:r>
            <a:rPr lang="en-US" sz="1100" baseline="0"/>
            <a:t> Calculation</a:t>
          </a:r>
        </a:p>
      </xdr:txBody>
    </xdr:sp>
    <xdr:clientData/>
  </xdr:twoCellAnchor>
  <xdr:twoCellAnchor>
    <xdr:from>
      <xdr:col>5</xdr:col>
      <xdr:colOff>226787</xdr:colOff>
      <xdr:row>90</xdr:row>
      <xdr:rowOff>72571</xdr:rowOff>
    </xdr:from>
    <xdr:to>
      <xdr:col>6</xdr:col>
      <xdr:colOff>226787</xdr:colOff>
      <xdr:row>92</xdr:row>
      <xdr:rowOff>167821</xdr:rowOff>
    </xdr:to>
    <xdr:sp macro="" textlink="">
      <xdr:nvSpPr>
        <xdr:cNvPr id="13" name="TextBox 12" descr="10 dB(A) lower than SPL when Train Tail Passes Microphone&#10;">
          <a:extLst>
            <a:ext uri="{FF2B5EF4-FFF2-40B4-BE49-F238E27FC236}">
              <a16:creationId xmlns:a16="http://schemas.microsoft.com/office/drawing/2014/main" id="{00000000-0008-0000-1100-00000D000000}"/>
            </a:ext>
          </a:extLst>
        </xdr:cNvPr>
        <xdr:cNvSpPr txBox="1"/>
      </xdr:nvSpPr>
      <xdr:spPr>
        <a:xfrm>
          <a:off x="3274787" y="17560471"/>
          <a:ext cx="19812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xdr:from>
      <xdr:col>5</xdr:col>
      <xdr:colOff>211667</xdr:colOff>
      <xdr:row>34</xdr:row>
      <xdr:rowOff>43846</xdr:rowOff>
    </xdr:from>
    <xdr:to>
      <xdr:col>6</xdr:col>
      <xdr:colOff>211667</xdr:colOff>
      <xdr:row>36</xdr:row>
      <xdr:rowOff>149679</xdr:rowOff>
    </xdr:to>
    <xdr:sp macro="" textlink="">
      <xdr:nvSpPr>
        <xdr:cNvPr id="15" name="TextBox 14" descr="10 dB(A) lower than SPL when Train Nose Passes Microphone&#10;">
          <a:extLst>
            <a:ext uri="{FF2B5EF4-FFF2-40B4-BE49-F238E27FC236}">
              <a16:creationId xmlns:a16="http://schemas.microsoft.com/office/drawing/2014/main" id="{00000000-0008-0000-1100-00000F000000}"/>
            </a:ext>
          </a:extLst>
        </xdr:cNvPr>
        <xdr:cNvSpPr txBox="1"/>
      </xdr:nvSpPr>
      <xdr:spPr>
        <a:xfrm>
          <a:off x="3259667" y="6863746"/>
          <a:ext cx="1981200" cy="486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10583</xdr:colOff>
      <xdr:row>35</xdr:row>
      <xdr:rowOff>86179</xdr:rowOff>
    </xdr:from>
    <xdr:to>
      <xdr:col>5</xdr:col>
      <xdr:colOff>211667</xdr:colOff>
      <xdr:row>35</xdr:row>
      <xdr:rowOff>86179</xdr:rowOff>
    </xdr:to>
    <xdr:cxnSp macro="">
      <xdr:nvCxnSpPr>
        <xdr:cNvPr id="16" name="Straight Arrow Connector 15" descr="arrow">
          <a:extLst>
            <a:ext uri="{FF2B5EF4-FFF2-40B4-BE49-F238E27FC236}">
              <a16:creationId xmlns:a16="http://schemas.microsoft.com/office/drawing/2014/main" id="{00000000-0008-0000-1100-000010000000}"/>
            </a:ext>
          </a:extLst>
        </xdr:cNvPr>
        <xdr:cNvCxnSpPr>
          <a:stCxn id="15" idx="1"/>
        </xdr:cNvCxnSpPr>
      </xdr:nvCxnSpPr>
      <xdr:spPr>
        <a:xfrm flipH="1" flipV="1">
          <a:off x="3058583" y="7096579"/>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8164</xdr:colOff>
      <xdr:row>86</xdr:row>
      <xdr:rowOff>84970</xdr:rowOff>
    </xdr:from>
    <xdr:to>
      <xdr:col>5</xdr:col>
      <xdr:colOff>209248</xdr:colOff>
      <xdr:row>86</xdr:row>
      <xdr:rowOff>84970</xdr:rowOff>
    </xdr:to>
    <xdr:cxnSp macro="">
      <xdr:nvCxnSpPr>
        <xdr:cNvPr id="17" name="Straight Arrow Connector 16" descr="arrow">
          <a:extLst>
            <a:ext uri="{FF2B5EF4-FFF2-40B4-BE49-F238E27FC236}">
              <a16:creationId xmlns:a16="http://schemas.microsoft.com/office/drawing/2014/main" id="{00000000-0008-0000-1100-000011000000}"/>
            </a:ext>
          </a:extLst>
        </xdr:cNvPr>
        <xdr:cNvCxnSpPr/>
      </xdr:nvCxnSpPr>
      <xdr:spPr>
        <a:xfrm flipH="1" flipV="1">
          <a:off x="3056164" y="1681087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234648</xdr:colOff>
      <xdr:row>85</xdr:row>
      <xdr:rowOff>136071</xdr:rowOff>
    </xdr:from>
    <xdr:to>
      <xdr:col>6</xdr:col>
      <xdr:colOff>234648</xdr:colOff>
      <xdr:row>87</xdr:row>
      <xdr:rowOff>27213</xdr:rowOff>
    </xdr:to>
    <xdr:sp macro="" textlink="">
      <xdr:nvSpPr>
        <xdr:cNvPr id="18" name="TextBox 17" descr="Train Tail Passes Microphone&#10;">
          <a:extLst>
            <a:ext uri="{FF2B5EF4-FFF2-40B4-BE49-F238E27FC236}">
              <a16:creationId xmlns:a16="http://schemas.microsoft.com/office/drawing/2014/main" id="{00000000-0008-0000-1100-000012000000}"/>
            </a:ext>
          </a:extLst>
        </xdr:cNvPr>
        <xdr:cNvSpPr txBox="1"/>
      </xdr:nvSpPr>
      <xdr:spPr>
        <a:xfrm>
          <a:off x="3282648" y="16671471"/>
          <a:ext cx="1981200" cy="27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Tail Passes Microphone</a:t>
          </a:r>
          <a:endParaRPr lang="en-US" sz="1100"/>
        </a:p>
      </xdr:txBody>
    </xdr:sp>
    <xdr:clientData/>
  </xdr:twoCellAnchor>
  <xdr:twoCellAnchor>
    <xdr:from>
      <xdr:col>5</xdr:col>
      <xdr:colOff>13607</xdr:colOff>
      <xdr:row>63</xdr:row>
      <xdr:rowOff>98577</xdr:rowOff>
    </xdr:from>
    <xdr:to>
      <xdr:col>5</xdr:col>
      <xdr:colOff>214691</xdr:colOff>
      <xdr:row>63</xdr:row>
      <xdr:rowOff>98577</xdr:rowOff>
    </xdr:to>
    <xdr:cxnSp macro="">
      <xdr:nvCxnSpPr>
        <xdr:cNvPr id="19" name="Straight Arrow Connector 18" descr="arrow">
          <a:extLst>
            <a:ext uri="{FF2B5EF4-FFF2-40B4-BE49-F238E27FC236}">
              <a16:creationId xmlns:a16="http://schemas.microsoft.com/office/drawing/2014/main" id="{00000000-0008-0000-1100-000013000000}"/>
            </a:ext>
          </a:extLst>
        </xdr:cNvPr>
        <xdr:cNvCxnSpPr/>
      </xdr:nvCxnSpPr>
      <xdr:spPr>
        <a:xfrm flipH="1" flipV="1">
          <a:off x="3061607" y="12442977"/>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240091</xdr:colOff>
      <xdr:row>62</xdr:row>
      <xdr:rowOff>149677</xdr:rowOff>
    </xdr:from>
    <xdr:to>
      <xdr:col>6</xdr:col>
      <xdr:colOff>503464</xdr:colOff>
      <xdr:row>64</xdr:row>
      <xdr:rowOff>68034</xdr:rowOff>
    </xdr:to>
    <xdr:sp macro="" textlink="">
      <xdr:nvSpPr>
        <xdr:cNvPr id="20" name="TextBox 19" descr="Maximum Sound Pressure Level&#10;">
          <a:extLst>
            <a:ext uri="{FF2B5EF4-FFF2-40B4-BE49-F238E27FC236}">
              <a16:creationId xmlns:a16="http://schemas.microsoft.com/office/drawing/2014/main" id="{00000000-0008-0000-1100-000014000000}"/>
            </a:ext>
          </a:extLst>
        </xdr:cNvPr>
        <xdr:cNvSpPr txBox="1"/>
      </xdr:nvSpPr>
      <xdr:spPr>
        <a:xfrm>
          <a:off x="3288091" y="12303577"/>
          <a:ext cx="2244573" cy="299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Maximum Sound Pressure Level</a:t>
          </a:r>
          <a:endParaRPr lang="en-US" sz="1100"/>
        </a:p>
      </xdr:txBody>
    </xdr:sp>
    <xdr:clientData/>
  </xdr:twoCellAnchor>
  <xdr:twoCellAnchor editAs="oneCell">
    <xdr:from>
      <xdr:col>6</xdr:col>
      <xdr:colOff>717549</xdr:colOff>
      <xdr:row>31</xdr:row>
      <xdr:rowOff>23812</xdr:rowOff>
    </xdr:from>
    <xdr:to>
      <xdr:col>14</xdr:col>
      <xdr:colOff>730778</xdr:colOff>
      <xdr:row>66</xdr:row>
      <xdr:rowOff>68265</xdr:rowOff>
    </xdr:to>
    <xdr:pic>
      <xdr:nvPicPr>
        <xdr:cNvPr id="14" name="Picture 13" descr="common reference passby data set">
          <a:extLst>
            <a:ext uri="{FF2B5EF4-FFF2-40B4-BE49-F238E27FC236}">
              <a16:creationId xmlns:a16="http://schemas.microsoft.com/office/drawing/2014/main" id="{95CBD24D-2C6C-4384-B57C-3D680E869445}"/>
            </a:ext>
          </a:extLst>
        </xdr:cNvPr>
        <xdr:cNvPicPr>
          <a:picLocks noChangeAspect="1"/>
        </xdr:cNvPicPr>
      </xdr:nvPicPr>
      <xdr:blipFill>
        <a:blip xmlns:r="http://schemas.openxmlformats.org/officeDocument/2006/relationships" r:embed="rId4"/>
        <a:stretch>
          <a:fillRect/>
        </a:stretch>
      </xdr:blipFill>
      <xdr:spPr>
        <a:xfrm>
          <a:off x="6003924" y="6048375"/>
          <a:ext cx="9493779" cy="67087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425450</xdr:colOff>
      <xdr:row>28</xdr:row>
      <xdr:rowOff>198967</xdr:rowOff>
    </xdr:to>
    <xdr:pic>
      <xdr:nvPicPr>
        <xdr:cNvPr id="2" name="Picture 1" descr="LpAeq,Tp is the A-weighted equivalent continuous sound pressure level produced by the train as measured during the pass-by event">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srcRect/>
        <a:stretch>
          <a:fillRect/>
        </a:stretch>
      </xdr:blipFill>
      <xdr:spPr bwMode="auto">
        <a:xfrm>
          <a:off x="1219200" y="5105400"/>
          <a:ext cx="3819525" cy="833967"/>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3" name="Picture 1" descr="LpAeq,Tp can be calculated from the passby data using the following relationship">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6442596"/>
          <a:ext cx="3169407" cy="864137"/>
        </a:xfrm>
        <a:prstGeom prst="rect">
          <a:avLst/>
        </a:prstGeom>
        <a:noFill/>
        <a:ln w="1">
          <a:noFill/>
          <a:miter lim="800000"/>
          <a:headEnd/>
          <a:tailEnd type="none" w="med" len="med"/>
        </a:ln>
        <a:effectLst/>
      </xdr:spPr>
    </xdr:pic>
    <xdr:clientData/>
  </xdr:twoCellAnchor>
  <xdr:twoCellAnchor editAs="oneCell">
    <xdr:from>
      <xdr:col>10</xdr:col>
      <xdr:colOff>419100</xdr:colOff>
      <xdr:row>60</xdr:row>
      <xdr:rowOff>38100</xdr:rowOff>
    </xdr:from>
    <xdr:to>
      <xdr:col>11</xdr:col>
      <xdr:colOff>704850</xdr:colOff>
      <xdr:row>63</xdr:row>
      <xdr:rowOff>28228</xdr:rowOff>
    </xdr:to>
    <xdr:pic>
      <xdr:nvPicPr>
        <xdr:cNvPr id="4" name="Picture 3" descr="Data Point Number for Start of Passby Event (time at which train nose passes microphone)">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2306300"/>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62</xdr:row>
      <xdr:rowOff>123825</xdr:rowOff>
    </xdr:from>
    <xdr:to>
      <xdr:col>4</xdr:col>
      <xdr:colOff>430742</xdr:colOff>
      <xdr:row>66</xdr:row>
      <xdr:rowOff>67733</xdr:rowOff>
    </xdr:to>
    <xdr:pic>
      <xdr:nvPicPr>
        <xdr:cNvPr id="5" name="Picture 9" descr="Data Point Number for End of Passby Event (time at which train tail passes microphone)">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2773025"/>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541414</xdr:colOff>
      <xdr:row>5</xdr:row>
      <xdr:rowOff>6350</xdr:rowOff>
    </xdr:to>
    <xdr:pic>
      <xdr:nvPicPr>
        <xdr:cNvPr id="6" name="Picture 5" descr="us department of transportation/federal railroad administration logo">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76375" y="365615"/>
          <a:ext cx="3678314"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477042</xdr:colOff>
      <xdr:row>4</xdr:row>
      <xdr:rowOff>165086</xdr:rowOff>
    </xdr:to>
    <xdr:pic>
      <xdr:nvPicPr>
        <xdr:cNvPr id="7" name="Picture 6" descr="ricardo logo">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1925" y="328084"/>
          <a:ext cx="829467" cy="595827"/>
        </a:xfrm>
        <a:prstGeom prst="rect">
          <a:avLst/>
        </a:prstGeom>
        <a:noFill/>
        <a:ln w="1">
          <a:noFill/>
          <a:miter lim="800000"/>
          <a:headEnd/>
          <a:tailEnd type="none" w="med" len="med"/>
        </a:ln>
        <a:effectLst/>
      </xdr:spPr>
    </xdr:pic>
    <xdr:clientData/>
  </xdr:twoCellAnchor>
  <xdr:twoCellAnchor editAs="oneCell">
    <xdr:from>
      <xdr:col>10</xdr:col>
      <xdr:colOff>419100</xdr:colOff>
      <xdr:row>102</xdr:row>
      <xdr:rowOff>38100</xdr:rowOff>
    </xdr:from>
    <xdr:to>
      <xdr:col>11</xdr:col>
      <xdr:colOff>704850</xdr:colOff>
      <xdr:row>104</xdr:row>
      <xdr:rowOff>173220</xdr:rowOff>
    </xdr:to>
    <xdr:pic>
      <xdr:nvPicPr>
        <xdr:cNvPr id="8" name="Picture 7" descr="Data Point Number for Start of Passby Event (time passby SPLs begin being recorded)">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20831175"/>
          <a:ext cx="1228725" cy="554220"/>
        </a:xfrm>
        <a:prstGeom prst="rect">
          <a:avLst/>
        </a:prstGeom>
        <a:noFill/>
        <a:ln w="1">
          <a:noFill/>
          <a:miter lim="800000"/>
          <a:headEnd/>
          <a:tailEnd type="none" w="med" len="med"/>
        </a:ln>
        <a:effectLst/>
      </xdr:spPr>
    </xdr:pic>
    <xdr:clientData/>
  </xdr:twoCellAnchor>
  <xdr:twoCellAnchor editAs="oneCell">
    <xdr:from>
      <xdr:col>1</xdr:col>
      <xdr:colOff>807508</xdr:colOff>
      <xdr:row>104</xdr:row>
      <xdr:rowOff>123824</xdr:rowOff>
    </xdr:from>
    <xdr:to>
      <xdr:col>4</xdr:col>
      <xdr:colOff>600075</xdr:colOff>
      <xdr:row>108</xdr:row>
      <xdr:rowOff>31747</xdr:rowOff>
    </xdr:to>
    <xdr:pic>
      <xdr:nvPicPr>
        <xdr:cNvPr id="9" name="Picture 9" descr="Data Point Number for End of Passby Event (time passby SPLs end being recorded)">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17108" y="21335999"/>
          <a:ext cx="2113492" cy="704849"/>
        </a:xfrm>
        <a:prstGeom prst="rect">
          <a:avLst/>
        </a:prstGeom>
        <a:noFill/>
        <a:ln w="1">
          <a:noFill/>
          <a:miter lim="800000"/>
          <a:headEnd/>
          <a:tailEnd type="none" w="med" len="med"/>
        </a:ln>
        <a:effectLst/>
      </xdr:spPr>
    </xdr:pic>
    <xdr:clientData/>
  </xdr:twoCellAnchor>
  <xdr:twoCellAnchor editAs="oneCell">
    <xdr:from>
      <xdr:col>15</xdr:col>
      <xdr:colOff>0</xdr:colOff>
      <xdr:row>143</xdr:row>
      <xdr:rowOff>0</xdr:rowOff>
    </xdr:from>
    <xdr:to>
      <xdr:col>20</xdr:col>
      <xdr:colOff>577850</xdr:colOff>
      <xdr:row>155</xdr:row>
      <xdr:rowOff>57151</xdr:rowOff>
    </xdr:to>
    <xdr:pic>
      <xdr:nvPicPr>
        <xdr:cNvPr id="10" name="Picture 23" descr="The empirical factor, K, varies with train speed: it is on the order of 30 in speed range to 300 kph and up to 50 for very high speed trains, for which aerodynamic noise sources are dominant">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753850" y="29146500"/>
          <a:ext cx="4581525" cy="2752725"/>
        </a:xfrm>
        <a:prstGeom prst="rect">
          <a:avLst/>
        </a:prstGeom>
        <a:noFill/>
      </xdr:spPr>
    </xdr:pic>
    <xdr:clientData/>
  </xdr:twoCellAnchor>
  <xdr:twoCellAnchor editAs="oneCell">
    <xdr:from>
      <xdr:col>18</xdr:col>
      <xdr:colOff>42333</xdr:colOff>
      <xdr:row>140</xdr:row>
      <xdr:rowOff>31750</xdr:rowOff>
    </xdr:from>
    <xdr:to>
      <xdr:col>20</xdr:col>
      <xdr:colOff>877359</xdr:colOff>
      <xdr:row>141</xdr:row>
      <xdr:rowOff>104776</xdr:rowOff>
    </xdr:to>
    <xdr:pic>
      <xdr:nvPicPr>
        <xdr:cNvPr id="5121" name="Picture 1" descr="equation">
          <a:extLst>
            <a:ext uri="{FF2B5EF4-FFF2-40B4-BE49-F238E27FC236}">
              <a16:creationId xmlns:a16="http://schemas.microsoft.com/office/drawing/2014/main" id="{00000000-0008-0000-1200-0000011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4287500" y="28754917"/>
          <a:ext cx="2348442" cy="309033"/>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390525</xdr:colOff>
      <xdr:row>0</xdr:row>
      <xdr:rowOff>168077</xdr:rowOff>
    </xdr:from>
    <xdr:to>
      <xdr:col>14</xdr:col>
      <xdr:colOff>75141</xdr:colOff>
      <xdr:row>4</xdr:row>
      <xdr:rowOff>9524</xdr:rowOff>
    </xdr:to>
    <xdr:pic>
      <xdr:nvPicPr>
        <xdr:cNvPr id="2049" name="Picture 1" descr="Ricardo logo">
          <a:extLst>
            <a:ext uri="{FF2B5EF4-FFF2-40B4-BE49-F238E27FC236}">
              <a16:creationId xmlns:a16="http://schemas.microsoft.com/office/drawing/2014/main" id="{00000000-0008-0000-01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68077"/>
          <a:ext cx="952499" cy="603447"/>
        </a:xfrm>
        <a:prstGeom prst="rect">
          <a:avLst/>
        </a:prstGeom>
        <a:noFill/>
        <a:ln w="1">
          <a:noFill/>
          <a:miter lim="800000"/>
          <a:headEnd/>
          <a:tailEnd type="none" w="med" len="med"/>
        </a:ln>
        <a:effectLst/>
      </xdr:spPr>
    </xdr:pic>
    <xdr:clientData/>
  </xdr:twoCellAnchor>
  <xdr:twoCellAnchor editAs="oneCell">
    <xdr:from>
      <xdr:col>1</xdr:col>
      <xdr:colOff>19050</xdr:colOff>
      <xdr:row>0</xdr:row>
      <xdr:rowOff>175115</xdr:rowOff>
    </xdr:from>
    <xdr:to>
      <xdr:col>6</xdr:col>
      <xdr:colOff>585355</xdr:colOff>
      <xdr:row>4</xdr:row>
      <xdr:rowOff>9525</xdr:rowOff>
    </xdr:to>
    <xdr:pic>
      <xdr:nvPicPr>
        <xdr:cNvPr id="2050" name="Picture 2" descr="U.S. Department of Transportation/Federal Railroad Administration logo">
          <a:extLst>
            <a:ext uri="{FF2B5EF4-FFF2-40B4-BE49-F238E27FC236}">
              <a16:creationId xmlns:a16="http://schemas.microsoft.com/office/drawing/2014/main" id="{00000000-0008-0000-0100-000002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8650" y="175115"/>
          <a:ext cx="3695700" cy="596410"/>
        </a:xfrm>
        <a:prstGeom prst="rect">
          <a:avLst/>
        </a:prstGeom>
        <a:noFill/>
        <a:ln w="1">
          <a:noFill/>
          <a:miter lim="800000"/>
          <a:headEnd/>
          <a:tailEnd type="none" w="med" len="med"/>
        </a:ln>
        <a:effectLst/>
      </xdr:spPr>
    </xdr:pic>
    <xdr:clientData/>
  </xdr:twoCellAnchor>
  <xdr:twoCellAnchor editAs="oneCell">
    <xdr:from>
      <xdr:col>7</xdr:col>
      <xdr:colOff>358665</xdr:colOff>
      <xdr:row>0</xdr:row>
      <xdr:rowOff>168364</xdr:rowOff>
    </xdr:from>
    <xdr:to>
      <xdr:col>12</xdr:col>
      <xdr:colOff>133349</xdr:colOff>
      <xdr:row>4</xdr:row>
      <xdr:rowOff>95250</xdr:rowOff>
    </xdr:to>
    <xdr:pic>
      <xdr:nvPicPr>
        <xdr:cNvPr id="2051" name="Picture 3" descr="acelo train">
          <a:extLst>
            <a:ext uri="{FF2B5EF4-FFF2-40B4-BE49-F238E27FC236}">
              <a16:creationId xmlns:a16="http://schemas.microsoft.com/office/drawing/2014/main" id="{00000000-0008-0000-0100-000003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625865" y="168364"/>
          <a:ext cx="2822685" cy="688886"/>
        </a:xfrm>
        <a:prstGeom prst="rect">
          <a:avLst/>
        </a:prstGeom>
        <a:noFill/>
        <a:ln w="1">
          <a:noFill/>
          <a:miter lim="800000"/>
          <a:headEnd/>
          <a:tailEnd type="none" w="med" len="med"/>
        </a:ln>
        <a:effectLst/>
      </xdr:spPr>
    </xdr:pic>
    <xdr:clientData/>
  </xdr:twoCellAnchor>
  <xdr:twoCellAnchor>
    <xdr:from>
      <xdr:col>10</xdr:col>
      <xdr:colOff>276225</xdr:colOff>
      <xdr:row>3</xdr:row>
      <xdr:rowOff>123824</xdr:rowOff>
    </xdr:from>
    <xdr:to>
      <xdr:col>12</xdr:col>
      <xdr:colOff>47625</xdr:colOff>
      <xdr:row>4</xdr:row>
      <xdr:rowOff>114299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372225" y="695324"/>
          <a:ext cx="990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500">
              <a:latin typeface="Calibri"/>
            </a:rPr>
            <a:t>© AMTRAK</a:t>
          </a:r>
          <a:endParaRPr lang="en-US" sz="5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668866</xdr:colOff>
      <xdr:row>0</xdr:row>
      <xdr:rowOff>158552</xdr:rowOff>
    </xdr:from>
    <xdr:to>
      <xdr:col>15</xdr:col>
      <xdr:colOff>46299</xdr:colOff>
      <xdr:row>4</xdr:row>
      <xdr:rowOff>2962</xdr:rowOff>
    </xdr:to>
    <xdr:pic>
      <xdr:nvPicPr>
        <xdr:cNvPr id="2" name="Picture 1" descr="ricardo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69449" y="158552"/>
          <a:ext cx="946942" cy="595827"/>
        </a:xfrm>
        <a:prstGeom prst="rect">
          <a:avLst/>
        </a:prstGeom>
        <a:noFill/>
        <a:ln w="1">
          <a:noFill/>
          <a:miter lim="800000"/>
          <a:headEnd/>
          <a:tailEnd type="none" w="med" len="med"/>
        </a:ln>
        <a:effectLst/>
      </xdr:spPr>
    </xdr:pic>
    <xdr:clientData/>
  </xdr:twoCellAnchor>
  <xdr:twoCellAnchor editAs="oneCell">
    <xdr:from>
      <xdr:col>2</xdr:col>
      <xdr:colOff>19050</xdr:colOff>
      <xdr:row>0</xdr:row>
      <xdr:rowOff>175115</xdr:rowOff>
    </xdr:from>
    <xdr:to>
      <xdr:col>6</xdr:col>
      <xdr:colOff>293158</xdr:colOff>
      <xdr:row>4</xdr:row>
      <xdr:rowOff>6350</xdr:rowOff>
    </xdr:to>
    <xdr:pic>
      <xdr:nvPicPr>
        <xdr:cNvPr id="3" name="Picture 2" descr="U.S. Department of Transportation/Federal Railroad Administration logo">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8650" y="175115"/>
          <a:ext cx="3695700" cy="596410"/>
        </a:xfrm>
        <a:prstGeom prst="rect">
          <a:avLst/>
        </a:prstGeom>
        <a:noFill/>
        <a:ln w="1">
          <a:noFill/>
          <a:miter lim="800000"/>
          <a:headEnd/>
          <a:tailEnd type="none" w="med" len="med"/>
        </a:ln>
        <a:effectLst/>
      </xdr:spPr>
    </xdr:pic>
    <xdr:clientData/>
  </xdr:twoCellAnchor>
  <xdr:twoCellAnchor editAs="oneCell">
    <xdr:from>
      <xdr:col>12</xdr:col>
      <xdr:colOff>402166</xdr:colOff>
      <xdr:row>22</xdr:row>
      <xdr:rowOff>0</xdr:rowOff>
    </xdr:from>
    <xdr:to>
      <xdr:col>14</xdr:col>
      <xdr:colOff>483656</xdr:colOff>
      <xdr:row>28</xdr:row>
      <xdr:rowOff>149</xdr:rowOff>
    </xdr:to>
    <xdr:pic>
      <xdr:nvPicPr>
        <xdr:cNvPr id="5" name="Picture 4" descr="U.S. map">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688916" y="4106333"/>
          <a:ext cx="1651000" cy="1142090"/>
        </a:xfrm>
        <a:prstGeom prst="rect">
          <a:avLst/>
        </a:prstGeom>
        <a:noFill/>
        <a:ln w="9525">
          <a:noFill/>
          <a:miter lim="800000"/>
          <a:headEnd/>
          <a:tailEnd/>
        </a:ln>
      </xdr:spPr>
    </xdr:pic>
    <xdr:clientData/>
  </xdr:twoCellAnchor>
  <xdr:twoCellAnchor editAs="oneCell">
    <xdr:from>
      <xdr:col>12</xdr:col>
      <xdr:colOff>402167</xdr:colOff>
      <xdr:row>51</xdr:row>
      <xdr:rowOff>84667</xdr:rowOff>
    </xdr:from>
    <xdr:to>
      <xdr:col>14</xdr:col>
      <xdr:colOff>429311</xdr:colOff>
      <xdr:row>59</xdr:row>
      <xdr:rowOff>3174</xdr:rowOff>
    </xdr:to>
    <xdr:pic>
      <xdr:nvPicPr>
        <xdr:cNvPr id="6" name="Picture 5" descr="Europe map">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688917" y="9715500"/>
          <a:ext cx="1590304" cy="1428750"/>
        </a:xfrm>
        <a:prstGeom prst="rect">
          <a:avLst/>
        </a:prstGeom>
        <a:noFill/>
        <a:ln w="9525">
          <a:noFill/>
          <a:miter lim="800000"/>
          <a:headEnd/>
          <a:tailEnd/>
        </a:ln>
      </xdr:spPr>
    </xdr:pic>
    <xdr:clientData/>
  </xdr:twoCellAnchor>
  <xdr:twoCellAnchor editAs="oneCell">
    <xdr:from>
      <xdr:col>12</xdr:col>
      <xdr:colOff>582083</xdr:colOff>
      <xdr:row>85</xdr:row>
      <xdr:rowOff>0</xdr:rowOff>
    </xdr:from>
    <xdr:to>
      <xdr:col>14</xdr:col>
      <xdr:colOff>581021</xdr:colOff>
      <xdr:row>90</xdr:row>
      <xdr:rowOff>161925</xdr:rowOff>
    </xdr:to>
    <xdr:pic>
      <xdr:nvPicPr>
        <xdr:cNvPr id="7" name="Picture 6" descr="China map">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868833" y="16150167"/>
          <a:ext cx="1568448" cy="1111249"/>
        </a:xfrm>
        <a:prstGeom prst="rect">
          <a:avLst/>
        </a:prstGeom>
        <a:noFill/>
        <a:ln w="9525">
          <a:noFill/>
          <a:miter lim="800000"/>
          <a:headEnd/>
          <a:tailEnd/>
        </a:ln>
      </xdr:spPr>
    </xdr:pic>
    <xdr:clientData/>
  </xdr:twoCellAnchor>
  <xdr:twoCellAnchor editAs="oneCell">
    <xdr:from>
      <xdr:col>10</xdr:col>
      <xdr:colOff>444500</xdr:colOff>
      <xdr:row>110</xdr:row>
      <xdr:rowOff>306916</xdr:rowOff>
    </xdr:from>
    <xdr:to>
      <xdr:col>13</xdr:col>
      <xdr:colOff>249077</xdr:colOff>
      <xdr:row>114</xdr:row>
      <xdr:rowOff>426509</xdr:rowOff>
    </xdr:to>
    <xdr:pic>
      <xdr:nvPicPr>
        <xdr:cNvPr id="8" name="Picture 7" descr="Japan map">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503583" y="21537083"/>
          <a:ext cx="1646077" cy="1629833"/>
        </a:xfrm>
        <a:prstGeom prst="rect">
          <a:avLst/>
        </a:prstGeom>
        <a:noFill/>
        <a:ln w="9525">
          <a:noFill/>
          <a:miter lim="800000"/>
          <a:headEnd/>
          <a:tailEnd/>
        </a:ln>
      </xdr:spPr>
    </xdr:pic>
    <xdr:clientData/>
  </xdr:twoCellAnchor>
  <xdr:twoCellAnchor>
    <xdr:from>
      <xdr:col>2</xdr:col>
      <xdr:colOff>338667</xdr:colOff>
      <xdr:row>177</xdr:row>
      <xdr:rowOff>63501</xdr:rowOff>
    </xdr:from>
    <xdr:to>
      <xdr:col>8</xdr:col>
      <xdr:colOff>595841</xdr:colOff>
      <xdr:row>194</xdr:row>
      <xdr:rowOff>113242</xdr:rowOff>
    </xdr:to>
    <xdr:pic>
      <xdr:nvPicPr>
        <xdr:cNvPr id="1025" name="Picture 12" descr="The dynamic properties of the test track are considered suitable for acceptable noise measurements if the one-third octave band track decay rates spectra measured according to EN1546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2500" y="34088918"/>
          <a:ext cx="5474758" cy="3288241"/>
        </a:xfrm>
        <a:prstGeom prst="rect">
          <a:avLst/>
        </a:prstGeom>
        <a:noFill/>
      </xdr:spPr>
    </xdr:pic>
    <xdr:clientData/>
  </xdr:twoCellAnchor>
  <xdr:twoCellAnchor editAs="oneCell">
    <xdr:from>
      <xdr:col>2</xdr:col>
      <xdr:colOff>0</xdr:colOff>
      <xdr:row>147</xdr:row>
      <xdr:rowOff>0</xdr:rowOff>
    </xdr:from>
    <xdr:to>
      <xdr:col>9</xdr:col>
      <xdr:colOff>31752</xdr:colOff>
      <xdr:row>166</xdr:row>
      <xdr:rowOff>123826</xdr:rowOff>
    </xdr:to>
    <xdr:pic>
      <xdr:nvPicPr>
        <xdr:cNvPr id="10" name="Picture 9" descr="The EU Technical Specifications for Interoperability define track surface roughness and dynamics characteristics for pass-by noise measurements.  The “rail acoustic roughness” of the test track is considered suitable for comparable measurements if the one-third octave band roughness spectra assessed according to EN15610 (European Standard for Rail Roughness Measurement Related to Rolling Noise Generation)2 throughout the test, fulfill the following upper limit: the wavelength bandwidth is to be at least 0.003 m to 0.10 m (0.3 cm to 10.0 cm) [0.010 ft to 0.328 ft (0.118 inches to 3.94 inches)] corresponding to the graph below.">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8" cstate="print"/>
        <a:srcRect/>
        <a:stretch>
          <a:fillRect/>
        </a:stretch>
      </xdr:blipFill>
      <xdr:spPr bwMode="auto">
        <a:xfrm>
          <a:off x="613833" y="28469167"/>
          <a:ext cx="5852584" cy="3746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66675</xdr:colOff>
      <xdr:row>0</xdr:row>
      <xdr:rowOff>149027</xdr:rowOff>
    </xdr:from>
    <xdr:to>
      <xdr:col>12</xdr:col>
      <xdr:colOff>124617</xdr:colOff>
      <xdr:row>3</xdr:row>
      <xdr:rowOff>173354</xdr:rowOff>
    </xdr:to>
    <xdr:pic>
      <xdr:nvPicPr>
        <xdr:cNvPr id="2" name="Picture 1" descr="Ricardo 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58775" y="149027"/>
          <a:ext cx="826292" cy="595827"/>
        </a:xfrm>
        <a:prstGeom prst="rect">
          <a:avLst/>
        </a:prstGeom>
        <a:noFill/>
        <a:ln w="1">
          <a:noFill/>
          <a:miter lim="800000"/>
          <a:headEnd/>
          <a:tailEnd type="none" w="med" len="med"/>
        </a:ln>
        <a:effectLst/>
      </xdr:spPr>
    </xdr:pic>
    <xdr:clientData/>
  </xdr:twoCellAnchor>
  <xdr:twoCellAnchor editAs="oneCell">
    <xdr:from>
      <xdr:col>2</xdr:col>
      <xdr:colOff>19050</xdr:colOff>
      <xdr:row>0</xdr:row>
      <xdr:rowOff>175115</xdr:rowOff>
    </xdr:from>
    <xdr:to>
      <xdr:col>4</xdr:col>
      <xdr:colOff>103982</xdr:colOff>
      <xdr:row>4</xdr:row>
      <xdr:rowOff>6350</xdr:rowOff>
    </xdr:to>
    <xdr:pic>
      <xdr:nvPicPr>
        <xdr:cNvPr id="3" name="Picture 2" descr="U.S. Department of Transportation/Federal Railroad Administration logo">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28650" y="175115"/>
          <a:ext cx="3702050" cy="596410"/>
        </a:xfrm>
        <a:prstGeom prst="rect">
          <a:avLst/>
        </a:prstGeom>
        <a:noFill/>
        <a:ln w="1">
          <a:noFill/>
          <a:miter lim="800000"/>
          <a:headEnd/>
          <a:tailEnd type="none" w="med" len="med"/>
        </a:ln>
        <a:effectLst/>
      </xdr:spPr>
    </xdr:pic>
    <xdr:clientData/>
  </xdr:twoCellAnchor>
  <xdr:twoCellAnchor editAs="oneCell">
    <xdr:from>
      <xdr:col>2</xdr:col>
      <xdr:colOff>85725</xdr:colOff>
      <xdr:row>22</xdr:row>
      <xdr:rowOff>181369</xdr:rowOff>
    </xdr:from>
    <xdr:to>
      <xdr:col>3</xdr:col>
      <xdr:colOff>626028</xdr:colOff>
      <xdr:row>29</xdr:row>
      <xdr:rowOff>152400</xdr:rowOff>
    </xdr:to>
    <xdr:pic>
      <xdr:nvPicPr>
        <xdr:cNvPr id="6145" name="Picture 1" descr="korean HEMU-430X train">
          <a:extLst>
            <a:ext uri="{FF2B5EF4-FFF2-40B4-BE49-F238E27FC236}">
              <a16:creationId xmlns:a16="http://schemas.microsoft.com/office/drawing/2014/main" id="{00000000-0008-0000-0300-000001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04925" y="4658119"/>
          <a:ext cx="2569128" cy="1304531"/>
        </a:xfrm>
        <a:prstGeom prst="rect">
          <a:avLst/>
        </a:prstGeom>
        <a:noFill/>
        <a:ln w="1">
          <a:noFill/>
          <a:miter lim="800000"/>
          <a:headEnd/>
          <a:tailEnd type="none" w="med" len="med"/>
        </a:ln>
        <a:effectLst/>
      </xdr:spPr>
    </xdr:pic>
    <xdr:clientData/>
  </xdr:twoCellAnchor>
  <xdr:twoCellAnchor editAs="oneCell">
    <xdr:from>
      <xdr:col>3</xdr:col>
      <xdr:colOff>834978</xdr:colOff>
      <xdr:row>22</xdr:row>
      <xdr:rowOff>161925</xdr:rowOff>
    </xdr:from>
    <xdr:to>
      <xdr:col>4</xdr:col>
      <xdr:colOff>904082</xdr:colOff>
      <xdr:row>30</xdr:row>
      <xdr:rowOff>2381</xdr:rowOff>
    </xdr:to>
    <xdr:pic>
      <xdr:nvPicPr>
        <xdr:cNvPr id="6146" name="Picture 2" descr="Thayls PBKA train">
          <a:extLst>
            <a:ext uri="{FF2B5EF4-FFF2-40B4-BE49-F238E27FC236}">
              <a16:creationId xmlns:a16="http://schemas.microsoft.com/office/drawing/2014/main" id="{00000000-0008-0000-0300-000002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83003" y="4638675"/>
          <a:ext cx="2536872" cy="1352550"/>
        </a:xfrm>
        <a:prstGeom prst="rect">
          <a:avLst/>
        </a:prstGeom>
        <a:noFill/>
        <a:ln w="1">
          <a:noFill/>
          <a:miter lim="800000"/>
          <a:headEnd/>
          <a:tailEnd type="none" w="med" len="med"/>
        </a:ln>
        <a:effectLst/>
      </xdr:spPr>
    </xdr:pic>
    <xdr:clientData/>
  </xdr:twoCellAnchor>
  <xdr:twoCellAnchor editAs="oneCell">
    <xdr:from>
      <xdr:col>4</xdr:col>
      <xdr:colOff>1012030</xdr:colOff>
      <xdr:row>22</xdr:row>
      <xdr:rowOff>177315</xdr:rowOff>
    </xdr:from>
    <xdr:to>
      <xdr:col>7</xdr:col>
      <xdr:colOff>364329</xdr:colOff>
      <xdr:row>30</xdr:row>
      <xdr:rowOff>16668</xdr:rowOff>
    </xdr:to>
    <xdr:pic>
      <xdr:nvPicPr>
        <xdr:cNvPr id="6147" name="Picture 3" descr="China CRH3 series train">
          <a:extLst>
            <a:ext uri="{FF2B5EF4-FFF2-40B4-BE49-F238E27FC236}">
              <a16:creationId xmlns:a16="http://schemas.microsoft.com/office/drawing/2014/main" id="{00000000-0008-0000-0300-000003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929436" y="4654065"/>
          <a:ext cx="2697956" cy="1268103"/>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57150</xdr:colOff>
      <xdr:row>0</xdr:row>
      <xdr:rowOff>171450</xdr:rowOff>
    </xdr:from>
    <xdr:to>
      <xdr:col>18</xdr:col>
      <xdr:colOff>111917</xdr:colOff>
      <xdr:row>4</xdr:row>
      <xdr:rowOff>11627</xdr:rowOff>
    </xdr:to>
    <xdr:pic>
      <xdr:nvPicPr>
        <xdr:cNvPr id="5" name="Picture 4" descr="Ricardo logo">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63600" y="742950"/>
          <a:ext cx="826292" cy="595827"/>
        </a:xfrm>
        <a:prstGeom prst="rect">
          <a:avLst/>
        </a:prstGeom>
        <a:noFill/>
        <a:ln w="1">
          <a:noFill/>
          <a:miter lim="800000"/>
          <a:headEnd/>
          <a:tailEnd type="none" w="med" len="med"/>
        </a:ln>
        <a:effectLst/>
      </xdr:spPr>
    </xdr:pic>
    <xdr:clientData/>
  </xdr:twoCellAnchor>
  <xdr:twoCellAnchor editAs="oneCell">
    <xdr:from>
      <xdr:col>2</xdr:col>
      <xdr:colOff>502920</xdr:colOff>
      <xdr:row>52</xdr:row>
      <xdr:rowOff>160020</xdr:rowOff>
    </xdr:from>
    <xdr:to>
      <xdr:col>6</xdr:col>
      <xdr:colOff>140970</xdr:colOff>
      <xdr:row>57</xdr:row>
      <xdr:rowOff>59055</xdr:rowOff>
    </xdr:to>
    <xdr:pic>
      <xdr:nvPicPr>
        <xdr:cNvPr id="6" name="Picture 5" descr="t(j) the fraction of time during which sound pressure level L(j) occurs during time period over which Ld applies">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cstate="print"/>
        <a:srcRect/>
        <a:stretch>
          <a:fillRect/>
        </a:stretch>
      </xdr:blipFill>
      <xdr:spPr bwMode="auto">
        <a:xfrm>
          <a:off x="1722120" y="7658100"/>
          <a:ext cx="2933700" cy="790575"/>
        </a:xfrm>
        <a:prstGeom prst="rect">
          <a:avLst/>
        </a:prstGeom>
        <a:noFill/>
        <a:ln w="9525">
          <a:noFill/>
          <a:miter lim="800000"/>
          <a:headEnd/>
          <a:tailEnd/>
        </a:ln>
      </xdr:spPr>
    </xdr:pic>
    <xdr:clientData/>
  </xdr:twoCellAnchor>
  <xdr:twoCellAnchor editAs="oneCell">
    <xdr:from>
      <xdr:col>6</xdr:col>
      <xdr:colOff>421005</xdr:colOff>
      <xdr:row>53</xdr:row>
      <xdr:rowOff>146685</xdr:rowOff>
    </xdr:from>
    <xdr:to>
      <xdr:col>11</xdr:col>
      <xdr:colOff>845256</xdr:colOff>
      <xdr:row>56</xdr:row>
      <xdr:rowOff>17145</xdr:rowOff>
    </xdr:to>
    <xdr:pic>
      <xdr:nvPicPr>
        <xdr:cNvPr id="8" name="Picture 7" descr="t(j) the fraction of time during which sound pressure level L(j) occurs during time period over which Ld applies">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3" cstate="print"/>
        <a:srcRect/>
        <a:stretch>
          <a:fillRect/>
        </a:stretch>
      </xdr:blipFill>
      <xdr:spPr bwMode="auto">
        <a:xfrm>
          <a:off x="4935855" y="10624185"/>
          <a:ext cx="4808220" cy="441960"/>
        </a:xfrm>
        <a:prstGeom prst="rect">
          <a:avLst/>
        </a:prstGeom>
        <a:noFill/>
        <a:ln w="9525">
          <a:noFill/>
          <a:miter lim="800000"/>
          <a:headEnd/>
          <a:tailEnd/>
        </a:ln>
      </xdr:spPr>
    </xdr:pic>
    <xdr:clientData/>
  </xdr:twoCellAnchor>
  <xdr:twoCellAnchor editAs="oneCell">
    <xdr:from>
      <xdr:col>2</xdr:col>
      <xdr:colOff>600075</xdr:colOff>
      <xdr:row>0</xdr:row>
      <xdr:rowOff>147126</xdr:rowOff>
    </xdr:from>
    <xdr:to>
      <xdr:col>7</xdr:col>
      <xdr:colOff>276225</xdr:colOff>
      <xdr:row>3</xdr:row>
      <xdr:rowOff>88409</xdr:rowOff>
    </xdr:to>
    <xdr:pic>
      <xdr:nvPicPr>
        <xdr:cNvPr id="10" name="Picture 9" descr="U.S. Department of Transportation/Federal Railroad Administration logo">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19275" y="147126"/>
          <a:ext cx="3895725" cy="506433"/>
        </a:xfrm>
        <a:prstGeom prst="rect">
          <a:avLst/>
        </a:prstGeom>
        <a:noFill/>
        <a:ln w="1">
          <a:noFill/>
          <a:miter lim="800000"/>
          <a:headEnd/>
          <a:tailEnd type="none" w="med" len="med"/>
        </a:ln>
        <a:effectLst/>
      </xdr:spPr>
    </xdr:pic>
    <xdr:clientData/>
  </xdr:twoCellAnchor>
  <xdr:twoCellAnchor editAs="oneCell">
    <xdr:from>
      <xdr:col>1</xdr:col>
      <xdr:colOff>19050</xdr:colOff>
      <xdr:row>39</xdr:row>
      <xdr:rowOff>95250</xdr:rowOff>
    </xdr:from>
    <xdr:to>
      <xdr:col>5</xdr:col>
      <xdr:colOff>371475</xdr:colOff>
      <xdr:row>43</xdr:row>
      <xdr:rowOff>7409</xdr:rowOff>
    </xdr:to>
    <xdr:pic>
      <xdr:nvPicPr>
        <xdr:cNvPr id="11" name="Picture 10" descr="LpAeq,Tp is the A-weighted equivalent continuous sound pressure level produced by the train as measured during the pass-by event ">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5" cstate="print"/>
        <a:srcRect/>
        <a:stretch>
          <a:fillRect/>
        </a:stretch>
      </xdr:blipFill>
      <xdr:spPr bwMode="auto">
        <a:xfrm>
          <a:off x="628650" y="6419850"/>
          <a:ext cx="3352800" cy="756708"/>
        </a:xfrm>
        <a:prstGeom prst="rect">
          <a:avLst/>
        </a:prstGeom>
        <a:noFill/>
        <a:ln w="9525">
          <a:noFill/>
          <a:miter lim="800000"/>
          <a:headEnd/>
          <a:tailEnd/>
        </a:ln>
      </xdr:spPr>
    </xdr:pic>
    <xdr:clientData/>
  </xdr:twoCellAnchor>
  <xdr:twoCellAnchor editAs="oneCell">
    <xdr:from>
      <xdr:col>3</xdr:col>
      <xdr:colOff>137582</xdr:colOff>
      <xdr:row>63</xdr:row>
      <xdr:rowOff>21167</xdr:rowOff>
    </xdr:from>
    <xdr:to>
      <xdr:col>4</xdr:col>
      <xdr:colOff>1117588</xdr:colOff>
      <xdr:row>66</xdr:row>
      <xdr:rowOff>10583</xdr:rowOff>
    </xdr:to>
    <xdr:pic>
      <xdr:nvPicPr>
        <xdr:cNvPr id="14" name="Picture 1" descr="The time increment for calculating t(j) is 1 hour (3,600 seconds)">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979082" y="13186834"/>
          <a:ext cx="1587489" cy="560916"/>
        </a:xfrm>
        <a:prstGeom prst="rect">
          <a:avLst/>
        </a:prstGeom>
        <a:noFill/>
        <a:ln w="1">
          <a:noFill/>
          <a:miter lim="800000"/>
          <a:headEnd/>
          <a:tailEnd type="none" w="med" len="med"/>
        </a:ln>
        <a:effectLst/>
      </xdr:spPr>
    </xdr:pic>
    <xdr:clientData/>
  </xdr:twoCellAnchor>
  <xdr:twoCellAnchor editAs="oneCell">
    <xdr:from>
      <xdr:col>3</xdr:col>
      <xdr:colOff>455084</xdr:colOff>
      <xdr:row>71</xdr:row>
      <xdr:rowOff>84667</xdr:rowOff>
    </xdr:from>
    <xdr:to>
      <xdr:col>6</xdr:col>
      <xdr:colOff>363330</xdr:colOff>
      <xdr:row>76</xdr:row>
      <xdr:rowOff>10584</xdr:rowOff>
    </xdr:to>
    <xdr:pic>
      <xdr:nvPicPr>
        <xdr:cNvPr id="3073" name="Picture 1" descr="Another noise metric employed in Japan is Lamax and is defined as the power- or energy-average of the &quot;slow&quot; maximum sound pressure level (Lmax, s) of 20 consecutive train pass-bys">
          <a:extLst>
            <a:ext uri="{FF2B5EF4-FFF2-40B4-BE49-F238E27FC236}">
              <a16:creationId xmlns:a16="http://schemas.microsoft.com/office/drawing/2014/main" id="{00000000-0008-0000-0400-000001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296584" y="14859000"/>
          <a:ext cx="2606996" cy="878417"/>
        </a:xfrm>
        <a:prstGeom prst="rect">
          <a:avLst/>
        </a:prstGeom>
        <a:noFill/>
        <a:ln w="1">
          <a:noFill/>
          <a:miter lim="800000"/>
          <a:headEnd/>
          <a:tailEnd type="none" w="med" len="med"/>
        </a:ln>
        <a:effectLst/>
      </xdr:spPr>
    </xdr:pic>
    <xdr:clientData/>
  </xdr:twoCellAnchor>
  <xdr:twoCellAnchor>
    <xdr:from>
      <xdr:col>11</xdr:col>
      <xdr:colOff>486832</xdr:colOff>
      <xdr:row>13</xdr:row>
      <xdr:rowOff>10583</xdr:rowOff>
    </xdr:from>
    <xdr:to>
      <xdr:col>19</xdr:col>
      <xdr:colOff>126999</xdr:colOff>
      <xdr:row>28</xdr:row>
      <xdr:rowOff>126999</xdr:rowOff>
    </xdr:to>
    <xdr:sp macro="" textlink="">
      <xdr:nvSpPr>
        <xdr:cNvPr id="15" name="TextBox 14" descr="For the measurements in this study, there is a 95% confidence that the calculated passby noise  levels are within ±3 dB of the true values. &#10;&#10;Tests conducted on passenger trains using ISO standard-compliant instruments and procedures,  showed standard deviations in LAE of approximately 5 dB which led to the statement:  &quot;For the measurements in this study, there is a 95% confidence that the calculated noise levels are  within ±3 dB of the true LAeq(period) noise levels when at least 20 train pass-bys of each type under the same operating conditions are measured. For the LAmax assessment parameter, the uncertainty increases to approximately ±5 dB for the same number of train pass-bys&quot;.          &#10;&#10;Calculation procedures for Ld and Ln can be found in Appendix A of the following reference: Hanson, C. E., Ross, J.C., and Towers, D.A., High-Speed Ground Transportation Noise and Vibration  Impact Assessment U.S. Department of Transportation, Federal Railroad Administration, Final  Report DOT/FRA/ORD-12/15, September 2012. &#10;">
          <a:extLst>
            <a:ext uri="{FF2B5EF4-FFF2-40B4-BE49-F238E27FC236}">
              <a16:creationId xmlns:a16="http://schemas.microsoft.com/office/drawing/2014/main" id="{00000000-0008-0000-0400-00000F000000}"/>
            </a:ext>
          </a:extLst>
        </xdr:cNvPr>
        <xdr:cNvSpPr txBox="1"/>
      </xdr:nvSpPr>
      <xdr:spPr>
        <a:xfrm>
          <a:off x="9334499" y="2487083"/>
          <a:ext cx="6021917" cy="36935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latin typeface="+mn-lt"/>
              <a:ea typeface="+mn-ea"/>
              <a:cs typeface="+mn-cs"/>
            </a:rPr>
            <a:t>For the measurements in this study, there is a 95% confidence that the calculated passby noise </a:t>
          </a:r>
          <a:r>
            <a:rPr lang="en-US" sz="1100"/>
            <a:t> </a:t>
          </a:r>
          <a:r>
            <a:rPr lang="en-US" sz="1100" b="0" i="0" u="none" strike="noStrike">
              <a:solidFill>
                <a:schemeClr val="dk1"/>
              </a:solidFill>
              <a:latin typeface="+mn-lt"/>
              <a:ea typeface="+mn-ea"/>
              <a:cs typeface="+mn-cs"/>
            </a:rPr>
            <a:t>levels are within ±3 dB of the true values.</a:t>
          </a:r>
          <a:r>
            <a:rPr lang="en-US" sz="1100"/>
            <a:t> </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Tests conducted on passenger trains using ISO standard-compliant instruments and</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procedures, </a:t>
          </a:r>
          <a:r>
            <a:rPr lang="en-US" sz="1100"/>
            <a:t> </a:t>
          </a:r>
          <a:r>
            <a:rPr lang="en-US" sz="1100" b="0" i="0" u="none" strike="noStrike">
              <a:solidFill>
                <a:schemeClr val="dk1"/>
              </a:solidFill>
              <a:latin typeface="+mn-lt"/>
              <a:ea typeface="+mn-ea"/>
              <a:cs typeface="+mn-cs"/>
            </a:rPr>
            <a:t>showed standard deviations in LAE of approximately 5 dB which led to the</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statement: </a:t>
          </a:r>
          <a:r>
            <a:rPr lang="en-US" sz="1100"/>
            <a:t> </a:t>
          </a:r>
          <a:r>
            <a:rPr lang="en-US" sz="1100" b="0" i="0" u="none" strike="noStrike">
              <a:solidFill>
                <a:schemeClr val="dk1"/>
              </a:solidFill>
              <a:latin typeface="+mn-lt"/>
              <a:ea typeface="+mn-ea"/>
              <a:cs typeface="+mn-cs"/>
            </a:rPr>
            <a:t>"For the measurements in this study, there is a 95% confidence that the calculated</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noise levels are </a:t>
          </a:r>
          <a:r>
            <a:rPr lang="en-US" sz="1100"/>
            <a:t> </a:t>
          </a:r>
          <a:r>
            <a:rPr lang="en-US" sz="1100" b="0" i="0" u="none" strike="noStrike">
              <a:solidFill>
                <a:schemeClr val="dk1"/>
              </a:solidFill>
              <a:latin typeface="+mn-lt"/>
              <a:ea typeface="+mn-ea"/>
              <a:cs typeface="+mn-cs"/>
            </a:rPr>
            <a:t>within ±3 dB of the true L</a:t>
          </a:r>
          <a:r>
            <a:rPr lang="en-US" sz="1100" b="0" i="0" u="none" strike="noStrike" baseline="-25000">
              <a:solidFill>
                <a:schemeClr val="dk1"/>
              </a:solidFill>
              <a:latin typeface="+mn-lt"/>
              <a:ea typeface="+mn-ea"/>
              <a:cs typeface="+mn-cs"/>
            </a:rPr>
            <a:t>Aeq(period)</a:t>
          </a:r>
          <a:r>
            <a:rPr lang="en-US" sz="1100" b="0" i="0" u="none" strike="noStrike">
              <a:solidFill>
                <a:schemeClr val="dk1"/>
              </a:solidFill>
              <a:latin typeface="+mn-lt"/>
              <a:ea typeface="+mn-ea"/>
              <a:cs typeface="+mn-cs"/>
            </a:rPr>
            <a:t> noise levels when at least 20 train pass-bys</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of each type</a:t>
          </a:r>
          <a:r>
            <a:rPr lang="en-US" sz="1100"/>
            <a:t> </a:t>
          </a:r>
          <a:r>
            <a:rPr lang="en-US" sz="1100" b="0" i="0" u="none" strike="noStrike">
              <a:solidFill>
                <a:schemeClr val="dk1"/>
              </a:solidFill>
              <a:latin typeface="+mn-lt"/>
              <a:ea typeface="+mn-ea"/>
              <a:cs typeface="+mn-cs"/>
            </a:rPr>
            <a:t>under the same operating conditions are measured. For the L</a:t>
          </a:r>
          <a:r>
            <a:rPr lang="en-US" sz="1100" b="0" i="0" u="none" strike="noStrike" baseline="-25000">
              <a:solidFill>
                <a:schemeClr val="dk1"/>
              </a:solidFill>
              <a:latin typeface="+mn-lt"/>
              <a:ea typeface="+mn-ea"/>
              <a:cs typeface="+mn-cs"/>
            </a:rPr>
            <a:t>Amax</a:t>
          </a:r>
          <a:r>
            <a:rPr lang="en-US" sz="1100" b="0" i="0" u="none" strike="noStrike">
              <a:solidFill>
                <a:schemeClr val="dk1"/>
              </a:solidFill>
              <a:latin typeface="+mn-lt"/>
              <a:ea typeface="+mn-ea"/>
              <a:cs typeface="+mn-cs"/>
            </a:rPr>
            <a:t> assessment</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parameter, the</a:t>
          </a:r>
          <a:r>
            <a:rPr lang="en-US" sz="1100"/>
            <a:t> </a:t>
          </a:r>
          <a:r>
            <a:rPr lang="en-US" sz="1100" b="0" i="0" u="none" strike="noStrike">
              <a:solidFill>
                <a:schemeClr val="dk1"/>
              </a:solidFill>
              <a:latin typeface="+mn-lt"/>
              <a:ea typeface="+mn-ea"/>
              <a:cs typeface="+mn-cs"/>
            </a:rPr>
            <a:t>uncertainty increases to approximately ±5 dB for the same number of train</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pass-bys."  </a:t>
          </a:r>
          <a:r>
            <a:rPr lang="en-US" sz="1100"/>
            <a:t> </a:t>
          </a:r>
          <a:r>
            <a:rPr lang="en-US" sz="1100" b="0" i="0" u="none" strike="noStrike">
              <a:solidFill>
                <a:schemeClr val="dk1"/>
              </a:solidFill>
              <a:latin typeface="+mn-lt"/>
              <a:ea typeface="+mn-ea"/>
              <a:cs typeface="+mn-cs"/>
            </a:rPr>
            <a:t> </a:t>
          </a:r>
          <a:r>
            <a:rPr lang="en-US" sz="1100"/>
            <a:t> </a:t>
          </a:r>
          <a:r>
            <a:rPr lang="en-US" sz="1100" b="0" i="0" u="none" strike="noStrike">
              <a:solidFill>
                <a:schemeClr val="dk1"/>
              </a:solidFill>
              <a:latin typeface="+mn-lt"/>
              <a:ea typeface="+mn-ea"/>
              <a:cs typeface="+mn-cs"/>
            </a:rPr>
            <a:t> </a:t>
          </a:r>
          <a:r>
            <a:rPr lang="en-US" sz="1100"/>
            <a:t> </a:t>
          </a:r>
          <a:r>
            <a:rPr lang="en-US" sz="1100" b="0" i="0" u="none" strike="noStrike">
              <a:solidFill>
                <a:schemeClr val="dk1"/>
              </a:solidFill>
              <a:latin typeface="+mn-lt"/>
              <a:ea typeface="+mn-ea"/>
              <a:cs typeface="+mn-cs"/>
            </a:rPr>
            <a:t> </a:t>
          </a:r>
          <a:r>
            <a:rPr lang="en-US" sz="1100"/>
            <a:t> </a:t>
          </a:r>
          <a:r>
            <a:rPr lang="en-US" sz="1100" b="0" i="0" u="none" strike="noStrike">
              <a:solidFill>
                <a:schemeClr val="dk1"/>
              </a:solidFill>
              <a:latin typeface="+mn-lt"/>
              <a:ea typeface="+mn-ea"/>
              <a:cs typeface="+mn-cs"/>
            </a:rPr>
            <a:t> </a:t>
          </a:r>
        </a:p>
        <a:p>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Calculation procedures for L</a:t>
          </a:r>
          <a:r>
            <a:rPr lang="en-US" sz="1100" b="0" i="0" u="none" strike="noStrike" baseline="-25000">
              <a:solidFill>
                <a:schemeClr val="dk1"/>
              </a:solidFill>
              <a:latin typeface="+mn-lt"/>
              <a:ea typeface="+mn-ea"/>
              <a:cs typeface="+mn-cs"/>
            </a:rPr>
            <a:t>d</a:t>
          </a:r>
          <a:r>
            <a:rPr lang="en-US" sz="1100" b="0" i="0" u="none" strike="noStrike">
              <a:solidFill>
                <a:schemeClr val="dk1"/>
              </a:solidFill>
              <a:latin typeface="+mn-lt"/>
              <a:ea typeface="+mn-ea"/>
              <a:cs typeface="+mn-cs"/>
            </a:rPr>
            <a:t> and L</a:t>
          </a:r>
          <a:r>
            <a:rPr lang="en-US" sz="1100" b="0" i="0" u="none" strike="noStrike" baseline="-25000">
              <a:solidFill>
                <a:schemeClr val="dk1"/>
              </a:solidFill>
              <a:latin typeface="+mn-lt"/>
              <a:ea typeface="+mn-ea"/>
              <a:cs typeface="+mn-cs"/>
            </a:rPr>
            <a:t>n</a:t>
          </a:r>
          <a:r>
            <a:rPr lang="en-US" sz="1100" b="0" i="0" u="none" strike="noStrike">
              <a:solidFill>
                <a:schemeClr val="dk1"/>
              </a:solidFill>
              <a:latin typeface="+mn-lt"/>
              <a:ea typeface="+mn-ea"/>
              <a:cs typeface="+mn-cs"/>
            </a:rPr>
            <a:t> can be found in Appendix A of the following reference:</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Hanson, C. E., Ross, J.C., and Towers, D.A., High-Speed Ground Transportation Noise and</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Vibration </a:t>
          </a:r>
          <a:r>
            <a:rPr lang="en-US" sz="1100"/>
            <a:t> </a:t>
          </a:r>
          <a:r>
            <a:rPr lang="en-US" sz="1100" b="0" i="0" u="none" strike="noStrike">
              <a:solidFill>
                <a:schemeClr val="dk1"/>
              </a:solidFill>
              <a:latin typeface="+mn-lt"/>
              <a:ea typeface="+mn-ea"/>
              <a:cs typeface="+mn-cs"/>
            </a:rPr>
            <a:t>Impact Assessment U.S. Department of Transportation, Federal Railroad</a:t>
          </a:r>
          <a:r>
            <a:rPr lang="en-US" sz="1100" b="0" i="0" u="none" strike="noStrike" baseline="0">
              <a:solidFill>
                <a:schemeClr val="dk1"/>
              </a:solidFill>
              <a:latin typeface="+mn-lt"/>
              <a:ea typeface="+mn-ea"/>
              <a:cs typeface="+mn-cs"/>
            </a:rPr>
            <a:t> </a:t>
          </a:r>
          <a:r>
            <a:rPr lang="en-US" sz="1100" b="0" i="0" u="none" strike="noStrike">
              <a:solidFill>
                <a:schemeClr val="dk1"/>
              </a:solidFill>
              <a:latin typeface="+mn-lt"/>
              <a:ea typeface="+mn-ea"/>
              <a:cs typeface="+mn-cs"/>
            </a:rPr>
            <a:t>Administration, Final </a:t>
          </a:r>
          <a:r>
            <a:rPr lang="en-US" sz="1100"/>
            <a:t> </a:t>
          </a:r>
          <a:r>
            <a:rPr lang="en-US" sz="1100" b="0" i="0" u="none" strike="noStrike">
              <a:solidFill>
                <a:schemeClr val="dk1"/>
              </a:solidFill>
              <a:latin typeface="+mn-lt"/>
              <a:ea typeface="+mn-ea"/>
              <a:cs typeface="+mn-cs"/>
            </a:rPr>
            <a:t>Report DOT/FRA/ORD-12/15, September 2012.</a:t>
          </a:r>
          <a:r>
            <a:rPr lang="en-US" sz="1100"/>
            <a: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523875</xdr:colOff>
      <xdr:row>1</xdr:row>
      <xdr:rowOff>57150</xdr:rowOff>
    </xdr:from>
    <xdr:to>
      <xdr:col>18</xdr:col>
      <xdr:colOff>502442</xdr:colOff>
      <xdr:row>4</xdr:row>
      <xdr:rowOff>87827</xdr:rowOff>
    </xdr:to>
    <xdr:pic>
      <xdr:nvPicPr>
        <xdr:cNvPr id="5" name="Picture 4" descr="Ricardo logo">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15975" y="247650"/>
          <a:ext cx="826292" cy="595827"/>
        </a:xfrm>
        <a:prstGeom prst="rect">
          <a:avLst/>
        </a:prstGeom>
        <a:noFill/>
        <a:ln w="1">
          <a:noFill/>
          <a:miter lim="800000"/>
          <a:headEnd/>
          <a:tailEnd type="none" w="med" len="med"/>
        </a:ln>
        <a:effectLst/>
      </xdr:spPr>
    </xdr:pic>
    <xdr:clientData/>
  </xdr:twoCellAnchor>
  <xdr:twoCellAnchor editAs="oneCell">
    <xdr:from>
      <xdr:col>2</xdr:col>
      <xdr:colOff>266700</xdr:colOff>
      <xdr:row>0</xdr:row>
      <xdr:rowOff>180975</xdr:rowOff>
    </xdr:from>
    <xdr:to>
      <xdr:col>5</xdr:col>
      <xdr:colOff>568325</xdr:colOff>
      <xdr:row>4</xdr:row>
      <xdr:rowOff>9035</xdr:rowOff>
    </xdr:to>
    <xdr:pic>
      <xdr:nvPicPr>
        <xdr:cNvPr id="6" name="Picture 2" descr="U.S. Department of Transportation/Federal Railroad Administration log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85900" y="180975"/>
          <a:ext cx="3695700" cy="596410"/>
        </a:xfrm>
        <a:prstGeom prst="rect">
          <a:avLst/>
        </a:prstGeom>
        <a:noFill/>
        <a:ln w="1">
          <a:noFill/>
          <a:miter lim="800000"/>
          <a:headEnd/>
          <a:tailEnd type="none" w="med" len="med"/>
        </a:ln>
        <a:effectLst/>
      </xdr:spPr>
    </xdr:pic>
    <xdr:clientData/>
  </xdr:twoCellAnchor>
  <xdr:twoCellAnchor editAs="oneCell">
    <xdr:from>
      <xdr:col>5</xdr:col>
      <xdr:colOff>666750</xdr:colOff>
      <xdr:row>43</xdr:row>
      <xdr:rowOff>19050</xdr:rowOff>
    </xdr:from>
    <xdr:to>
      <xdr:col>7</xdr:col>
      <xdr:colOff>1201016</xdr:colOff>
      <xdr:row>46</xdr:row>
      <xdr:rowOff>143165</xdr:rowOff>
    </xdr:to>
    <xdr:pic>
      <xdr:nvPicPr>
        <xdr:cNvPr id="7" name="Picture 6" descr="calculation includes all the pass-by data points from the time recording of the microphone SPL signals starts until the time recording of microphone SPL signals ends">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3" cstate="print"/>
        <a:srcRect/>
        <a:stretch>
          <a:fillRect/>
        </a:stretch>
      </xdr:blipFill>
      <xdr:spPr bwMode="auto">
        <a:xfrm>
          <a:off x="5257800" y="7981950"/>
          <a:ext cx="2353541" cy="689264"/>
        </a:xfrm>
        <a:prstGeom prst="rect">
          <a:avLst/>
        </a:prstGeom>
        <a:noFill/>
        <a:ln w="9525">
          <a:noFill/>
          <a:miter lim="800000"/>
          <a:headEnd/>
          <a:tailEnd/>
        </a:ln>
      </xdr:spPr>
    </xdr:pic>
    <xdr:clientData/>
  </xdr:twoCellAnchor>
  <xdr:twoCellAnchor editAs="oneCell">
    <xdr:from>
      <xdr:col>2</xdr:col>
      <xdr:colOff>95250</xdr:colOff>
      <xdr:row>135</xdr:row>
      <xdr:rowOff>66675</xdr:rowOff>
    </xdr:from>
    <xdr:to>
      <xdr:col>2</xdr:col>
      <xdr:colOff>1466706</xdr:colOff>
      <xdr:row>137</xdr:row>
      <xdr:rowOff>170259</xdr:rowOff>
    </xdr:to>
    <xdr:pic>
      <xdr:nvPicPr>
        <xdr:cNvPr id="16" name="Picture 1" descr="the time increment for t(j) is 1 hour (3,6000 seconds)">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14450" y="27155775"/>
          <a:ext cx="1371456" cy="484584"/>
        </a:xfrm>
        <a:prstGeom prst="rect">
          <a:avLst/>
        </a:prstGeom>
        <a:noFill/>
        <a:ln w="1">
          <a:noFill/>
          <a:miter lim="800000"/>
          <a:headEnd/>
          <a:tailEnd type="none" w="med" len="med"/>
        </a:ln>
        <a:effectLst/>
      </xdr:spPr>
    </xdr:pic>
    <xdr:clientData/>
  </xdr:twoCellAnchor>
  <xdr:twoCellAnchor editAs="oneCell">
    <xdr:from>
      <xdr:col>10</xdr:col>
      <xdr:colOff>0</xdr:colOff>
      <xdr:row>19</xdr:row>
      <xdr:rowOff>0</xdr:rowOff>
    </xdr:from>
    <xdr:to>
      <xdr:col>20</xdr:col>
      <xdr:colOff>350838</xdr:colOff>
      <xdr:row>34</xdr:row>
      <xdr:rowOff>66402</xdr:rowOff>
    </xdr:to>
    <xdr:pic>
      <xdr:nvPicPr>
        <xdr:cNvPr id="2" name="Picture 1" descr="For the measurements in this study, there is a 95% confidence that the calculated passby noise levels are within ±3 dB of the true values">
          <a:extLst>
            <a:ext uri="{FF2B5EF4-FFF2-40B4-BE49-F238E27FC236}">
              <a16:creationId xmlns:a16="http://schemas.microsoft.com/office/drawing/2014/main" id="{2091C6BA-AFE0-4440-BD71-20A0FA36504F}"/>
            </a:ext>
          </a:extLst>
        </xdr:cNvPr>
        <xdr:cNvPicPr>
          <a:picLocks noChangeAspect="1"/>
        </xdr:cNvPicPr>
      </xdr:nvPicPr>
      <xdr:blipFill>
        <a:blip xmlns:r="http://schemas.openxmlformats.org/officeDocument/2006/relationships" r:embed="rId5"/>
        <a:stretch>
          <a:fillRect/>
        </a:stretch>
      </xdr:blipFill>
      <xdr:spPr>
        <a:xfrm>
          <a:off x="8167688" y="3492500"/>
          <a:ext cx="8397875" cy="3320777"/>
        </a:xfrm>
        <a:prstGeom prst="rect">
          <a:avLst/>
        </a:prstGeom>
      </xdr:spPr>
    </xdr:pic>
    <xdr:clientData/>
  </xdr:twoCellAnchor>
  <xdr:twoCellAnchor editAs="oneCell">
    <xdr:from>
      <xdr:col>3</xdr:col>
      <xdr:colOff>484013</xdr:colOff>
      <xdr:row>63</xdr:row>
      <xdr:rowOff>86517</xdr:rowOff>
    </xdr:from>
    <xdr:to>
      <xdr:col>13</xdr:col>
      <xdr:colOff>65881</xdr:colOff>
      <xdr:row>86</xdr:row>
      <xdr:rowOff>160336</xdr:rowOff>
    </xdr:to>
    <xdr:pic>
      <xdr:nvPicPr>
        <xdr:cNvPr id="3" name="Picture 2" descr="comparison of eu and china nigh time Ln noise regulation sound pressure level limits chart">
          <a:extLst>
            <a:ext uri="{FF2B5EF4-FFF2-40B4-BE49-F238E27FC236}">
              <a16:creationId xmlns:a16="http://schemas.microsoft.com/office/drawing/2014/main" id="{7EDB6220-9D18-4E79-B9D1-A1FE67E4AEBA}"/>
            </a:ext>
          </a:extLst>
        </xdr:cNvPr>
        <xdr:cNvPicPr>
          <a:picLocks noChangeAspect="1"/>
        </xdr:cNvPicPr>
      </xdr:nvPicPr>
      <xdr:blipFill>
        <a:blip xmlns:r="http://schemas.openxmlformats.org/officeDocument/2006/relationships" r:embed="rId6"/>
        <a:stretch>
          <a:fillRect/>
        </a:stretch>
      </xdr:blipFill>
      <xdr:spPr>
        <a:xfrm>
          <a:off x="3508201" y="12885736"/>
          <a:ext cx="9314830" cy="4181475"/>
        </a:xfrm>
        <a:prstGeom prst="rect">
          <a:avLst/>
        </a:prstGeom>
      </xdr:spPr>
    </xdr:pic>
    <xdr:clientData/>
  </xdr:twoCellAnchor>
  <xdr:twoCellAnchor editAs="oneCell">
    <xdr:from>
      <xdr:col>4</xdr:col>
      <xdr:colOff>3174</xdr:colOff>
      <xdr:row>109</xdr:row>
      <xdr:rowOff>166687</xdr:rowOff>
    </xdr:from>
    <xdr:to>
      <xdr:col>12</xdr:col>
      <xdr:colOff>55562</xdr:colOff>
      <xdr:row>133</xdr:row>
      <xdr:rowOff>35718</xdr:rowOff>
    </xdr:to>
    <xdr:pic>
      <xdr:nvPicPr>
        <xdr:cNvPr id="4" name="Picture 3" descr="comparison of eu and china day time Ld noise regulation sound pressure level limits">
          <a:extLst>
            <a:ext uri="{FF2B5EF4-FFF2-40B4-BE49-F238E27FC236}">
              <a16:creationId xmlns:a16="http://schemas.microsoft.com/office/drawing/2014/main" id="{05C7AA4C-627E-4820-9716-CF8A78C6B167}"/>
            </a:ext>
          </a:extLst>
        </xdr:cNvPr>
        <xdr:cNvPicPr>
          <a:picLocks noChangeAspect="1"/>
        </xdr:cNvPicPr>
      </xdr:nvPicPr>
      <xdr:blipFill>
        <a:blip xmlns:r="http://schemas.openxmlformats.org/officeDocument/2006/relationships" r:embed="rId7"/>
        <a:stretch>
          <a:fillRect/>
        </a:stretch>
      </xdr:blipFill>
      <xdr:spPr>
        <a:xfrm>
          <a:off x="3777455" y="22098000"/>
          <a:ext cx="8396288" cy="4155281"/>
        </a:xfrm>
        <a:prstGeom prst="rect">
          <a:avLst/>
        </a:prstGeom>
      </xdr:spPr>
    </xdr:pic>
    <xdr:clientData/>
  </xdr:twoCellAnchor>
  <xdr:twoCellAnchor editAs="oneCell">
    <xdr:from>
      <xdr:col>3</xdr:col>
      <xdr:colOff>690561</xdr:colOff>
      <xdr:row>159</xdr:row>
      <xdr:rowOff>111850</xdr:rowOff>
    </xdr:from>
    <xdr:to>
      <xdr:col>14</xdr:col>
      <xdr:colOff>11724</xdr:colOff>
      <xdr:row>184</xdr:row>
      <xdr:rowOff>8732</xdr:rowOff>
    </xdr:to>
    <xdr:pic>
      <xdr:nvPicPr>
        <xdr:cNvPr id="8" name="Picture 7" descr="comparison of eu and japan Leq (1-hour) noise regulation limits: zone I, residential">
          <a:extLst>
            <a:ext uri="{FF2B5EF4-FFF2-40B4-BE49-F238E27FC236}">
              <a16:creationId xmlns:a16="http://schemas.microsoft.com/office/drawing/2014/main" id="{11FD9AFF-E9FF-4863-8BDC-5A39A9680D1E}"/>
            </a:ext>
          </a:extLst>
        </xdr:cNvPr>
        <xdr:cNvPicPr>
          <a:picLocks noChangeAspect="1"/>
        </xdr:cNvPicPr>
      </xdr:nvPicPr>
      <xdr:blipFill>
        <a:blip xmlns:r="http://schemas.openxmlformats.org/officeDocument/2006/relationships" r:embed="rId8"/>
        <a:stretch>
          <a:fillRect/>
        </a:stretch>
      </xdr:blipFill>
      <xdr:spPr>
        <a:xfrm>
          <a:off x="3714749" y="31877725"/>
          <a:ext cx="9797869" cy="4361726"/>
        </a:xfrm>
        <a:prstGeom prst="rect">
          <a:avLst/>
        </a:prstGeom>
      </xdr:spPr>
    </xdr:pic>
    <xdr:clientData/>
  </xdr:twoCellAnchor>
  <xdr:twoCellAnchor editAs="oneCell">
    <xdr:from>
      <xdr:col>2</xdr:col>
      <xdr:colOff>1282699</xdr:colOff>
      <xdr:row>207</xdr:row>
      <xdr:rowOff>86518</xdr:rowOff>
    </xdr:from>
    <xdr:to>
      <xdr:col>14</xdr:col>
      <xdr:colOff>208755</xdr:colOff>
      <xdr:row>236</xdr:row>
      <xdr:rowOff>112758</xdr:rowOff>
    </xdr:to>
    <xdr:pic>
      <xdr:nvPicPr>
        <xdr:cNvPr id="9" name="Picture 8" descr="comparison of eu and japan Leq (1-hour) noise regulation limits: zone II, commercial and industrial">
          <a:extLst>
            <a:ext uri="{FF2B5EF4-FFF2-40B4-BE49-F238E27FC236}">
              <a16:creationId xmlns:a16="http://schemas.microsoft.com/office/drawing/2014/main" id="{B3C58F39-A1A3-4F08-BD39-16068AFCB421}"/>
            </a:ext>
          </a:extLst>
        </xdr:cNvPr>
        <xdr:cNvPicPr>
          <a:picLocks noChangeAspect="1"/>
        </xdr:cNvPicPr>
      </xdr:nvPicPr>
      <xdr:blipFill>
        <a:blip xmlns:r="http://schemas.openxmlformats.org/officeDocument/2006/relationships" r:embed="rId9"/>
        <a:stretch>
          <a:fillRect/>
        </a:stretch>
      </xdr:blipFill>
      <xdr:spPr>
        <a:xfrm>
          <a:off x="2568574" y="40913049"/>
          <a:ext cx="11147425" cy="5205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527858</xdr:colOff>
      <xdr:row>138</xdr:row>
      <xdr:rowOff>181841</xdr:rowOff>
    </xdr:from>
    <xdr:to>
      <xdr:col>4</xdr:col>
      <xdr:colOff>724852</xdr:colOff>
      <xdr:row>143</xdr:row>
      <xdr:rowOff>64656</xdr:rowOff>
    </xdr:to>
    <xdr:pic>
      <xdr:nvPicPr>
        <xdr:cNvPr id="30" name="Picture 29" descr="The A-weighted equivalent sound level measured during the day time, dB(A).  The sound level averaged on an energy basis">
          <a:extLst>
            <a:ext uri="{FF2B5EF4-FFF2-40B4-BE49-F238E27FC236}">
              <a16:creationId xmlns:a16="http://schemas.microsoft.com/office/drawing/2014/main" id="{00000000-0008-0000-0600-00001E000000}"/>
            </a:ext>
          </a:extLst>
        </xdr:cNvPr>
        <xdr:cNvPicPr/>
      </xdr:nvPicPr>
      <xdr:blipFill>
        <a:blip xmlns:r="http://schemas.openxmlformats.org/officeDocument/2006/relationships" r:embed="rId1" cstate="print"/>
        <a:srcRect/>
        <a:stretch>
          <a:fillRect/>
        </a:stretch>
      </xdr:blipFill>
      <xdr:spPr bwMode="auto">
        <a:xfrm>
          <a:off x="1740131" y="26176432"/>
          <a:ext cx="2848841" cy="832139"/>
        </a:xfrm>
        <a:prstGeom prst="rect">
          <a:avLst/>
        </a:prstGeom>
        <a:noFill/>
        <a:ln w="9525">
          <a:noFill/>
          <a:miter lim="800000"/>
          <a:headEnd/>
          <a:tailEnd/>
        </a:ln>
      </xdr:spPr>
    </xdr:pic>
    <xdr:clientData/>
  </xdr:twoCellAnchor>
  <xdr:twoCellAnchor editAs="oneCell">
    <xdr:from>
      <xdr:col>5</xdr:col>
      <xdr:colOff>467591</xdr:colOff>
      <xdr:row>140</xdr:row>
      <xdr:rowOff>347</xdr:rowOff>
    </xdr:from>
    <xdr:to>
      <xdr:col>10</xdr:col>
      <xdr:colOff>240405</xdr:colOff>
      <xdr:row>142</xdr:row>
      <xdr:rowOff>59229</xdr:rowOff>
    </xdr:to>
    <xdr:pic>
      <xdr:nvPicPr>
        <xdr:cNvPr id="31" name="Picture 30" descr="t(j) is the fraction of time during which sound pressure level, L(j), occurs during time period over which Ld applies">
          <a:extLst>
            <a:ext uri="{FF2B5EF4-FFF2-40B4-BE49-F238E27FC236}">
              <a16:creationId xmlns:a16="http://schemas.microsoft.com/office/drawing/2014/main" id="{00000000-0008-0000-0600-00001F000000}"/>
            </a:ext>
          </a:extLst>
        </xdr:cNvPr>
        <xdr:cNvPicPr/>
      </xdr:nvPicPr>
      <xdr:blipFill>
        <a:blip xmlns:r="http://schemas.openxmlformats.org/officeDocument/2006/relationships" r:embed="rId2" cstate="print"/>
        <a:srcRect/>
        <a:stretch>
          <a:fillRect/>
        </a:stretch>
      </xdr:blipFill>
      <xdr:spPr bwMode="auto">
        <a:xfrm>
          <a:off x="5325341" y="26375938"/>
          <a:ext cx="4681797" cy="439882"/>
        </a:xfrm>
        <a:prstGeom prst="rect">
          <a:avLst/>
        </a:prstGeom>
        <a:noFill/>
        <a:ln w="9525">
          <a:noFill/>
          <a:miter lim="800000"/>
          <a:headEnd/>
          <a:tailEnd/>
        </a:ln>
      </xdr:spPr>
    </xdr:pic>
    <xdr:clientData/>
  </xdr:twoCellAnchor>
  <xdr:twoCellAnchor editAs="oneCell">
    <xdr:from>
      <xdr:col>2</xdr:col>
      <xdr:colOff>614795</xdr:colOff>
      <xdr:row>280</xdr:row>
      <xdr:rowOff>45464</xdr:rowOff>
    </xdr:from>
    <xdr:to>
      <xdr:col>6</xdr:col>
      <xdr:colOff>638174</xdr:colOff>
      <xdr:row>283</xdr:row>
      <xdr:rowOff>132053</xdr:rowOff>
    </xdr:to>
    <xdr:pic>
      <xdr:nvPicPr>
        <xdr:cNvPr id="140" name="Picture 139" descr="The Leq noise metric is defined">
          <a:extLst>
            <a:ext uri="{FF2B5EF4-FFF2-40B4-BE49-F238E27FC236}">
              <a16:creationId xmlns:a16="http://schemas.microsoft.com/office/drawing/2014/main" id="{00000000-0008-0000-0600-00008C000000}"/>
            </a:ext>
          </a:extLst>
        </xdr:cNvPr>
        <xdr:cNvPicPr/>
      </xdr:nvPicPr>
      <xdr:blipFill>
        <a:blip xmlns:r="http://schemas.openxmlformats.org/officeDocument/2006/relationships" r:embed="rId3" cstate="print"/>
        <a:srcRect/>
        <a:stretch>
          <a:fillRect/>
        </a:stretch>
      </xdr:blipFill>
      <xdr:spPr bwMode="auto">
        <a:xfrm>
          <a:off x="1837170" y="53814089"/>
          <a:ext cx="4338204" cy="650153"/>
        </a:xfrm>
        <a:prstGeom prst="rect">
          <a:avLst/>
        </a:prstGeom>
        <a:noFill/>
        <a:ln w="9525">
          <a:noFill/>
          <a:miter lim="800000"/>
          <a:headEnd/>
          <a:tailEnd/>
        </a:ln>
      </xdr:spPr>
    </xdr:pic>
    <xdr:clientData/>
  </xdr:twoCellAnchor>
  <xdr:twoCellAnchor>
    <xdr:from>
      <xdr:col>3</xdr:col>
      <xdr:colOff>698140</xdr:colOff>
      <xdr:row>285</xdr:row>
      <xdr:rowOff>180110</xdr:rowOff>
    </xdr:from>
    <xdr:to>
      <xdr:col>4</xdr:col>
      <xdr:colOff>445943</xdr:colOff>
      <xdr:row>286</xdr:row>
      <xdr:rowOff>121227</xdr:rowOff>
    </xdr:to>
    <xdr:sp macro="" textlink="">
      <xdr:nvSpPr>
        <xdr:cNvPr id="142" name="TextBox 141">
          <a:extLst>
            <a:ext uri="{FF2B5EF4-FFF2-40B4-BE49-F238E27FC236}">
              <a16:creationId xmlns:a16="http://schemas.microsoft.com/office/drawing/2014/main" id="{00000000-0008-0000-0600-00008E000000}"/>
            </a:ext>
          </a:extLst>
        </xdr:cNvPr>
        <xdr:cNvSpPr txBox="1"/>
      </xdr:nvSpPr>
      <xdr:spPr>
        <a:xfrm>
          <a:off x="3979935" y="56083201"/>
          <a:ext cx="449190" cy="183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j=1</a:t>
          </a:r>
        </a:p>
      </xdr:txBody>
    </xdr:sp>
    <xdr:clientData/>
  </xdr:twoCellAnchor>
  <xdr:twoCellAnchor>
    <xdr:from>
      <xdr:col>4</xdr:col>
      <xdr:colOff>5412</xdr:colOff>
      <xdr:row>285</xdr:row>
      <xdr:rowOff>0</xdr:rowOff>
    </xdr:from>
    <xdr:to>
      <xdr:col>4</xdr:col>
      <xdr:colOff>454602</xdr:colOff>
      <xdr:row>285</xdr:row>
      <xdr:rowOff>95250</xdr:rowOff>
    </xdr:to>
    <xdr:sp macro="" textlink="">
      <xdr:nvSpPr>
        <xdr:cNvPr id="143" name="TextBox 142">
          <a:extLst>
            <a:ext uri="{FF2B5EF4-FFF2-40B4-BE49-F238E27FC236}">
              <a16:creationId xmlns:a16="http://schemas.microsoft.com/office/drawing/2014/main" id="{00000000-0008-0000-0600-00008F000000}"/>
            </a:ext>
          </a:extLst>
        </xdr:cNvPr>
        <xdr:cNvSpPr txBox="1"/>
      </xdr:nvSpPr>
      <xdr:spPr>
        <a:xfrm>
          <a:off x="3988594" y="55807841"/>
          <a:ext cx="44919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N</a:t>
          </a:r>
        </a:p>
      </xdr:txBody>
    </xdr:sp>
    <xdr:clientData/>
  </xdr:twoCellAnchor>
  <xdr:twoCellAnchor editAs="oneCell">
    <xdr:from>
      <xdr:col>2</xdr:col>
      <xdr:colOff>1052872</xdr:colOff>
      <xdr:row>286</xdr:row>
      <xdr:rowOff>53579</xdr:rowOff>
    </xdr:from>
    <xdr:to>
      <xdr:col>3</xdr:col>
      <xdr:colOff>351631</xdr:colOff>
      <xdr:row>288</xdr:row>
      <xdr:rowOff>160338</xdr:rowOff>
    </xdr:to>
    <xdr:pic>
      <xdr:nvPicPr>
        <xdr:cNvPr id="1025" name="Picture 1" descr="Leq hour equation">
          <a:extLst>
            <a:ext uri="{FF2B5EF4-FFF2-40B4-BE49-F238E27FC236}">
              <a16:creationId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267310" y="56310610"/>
          <a:ext cx="1367668" cy="484584"/>
        </a:xfrm>
        <a:prstGeom prst="rect">
          <a:avLst/>
        </a:prstGeom>
        <a:noFill/>
        <a:ln w="1">
          <a:noFill/>
          <a:miter lim="800000"/>
          <a:headEnd/>
          <a:tailEnd type="none" w="med" len="med"/>
        </a:ln>
        <a:effectLst/>
      </xdr:spPr>
    </xdr:pic>
    <xdr:clientData/>
  </xdr:twoCellAnchor>
  <xdr:twoCellAnchor editAs="oneCell">
    <xdr:from>
      <xdr:col>2</xdr:col>
      <xdr:colOff>1</xdr:colOff>
      <xdr:row>352</xdr:row>
      <xdr:rowOff>0</xdr:rowOff>
    </xdr:from>
    <xdr:to>
      <xdr:col>4</xdr:col>
      <xdr:colOff>391055</xdr:colOff>
      <xdr:row>356</xdr:row>
      <xdr:rowOff>134185</xdr:rowOff>
    </xdr:to>
    <xdr:pic>
      <xdr:nvPicPr>
        <xdr:cNvPr id="1185" name="Picture 161" descr="LAmax is defined as the power- or energy-average of the &quot;slow&quot; maximum level (LpASmax) of 20 consecutive train passbys">
          <a:extLst>
            <a:ext uri="{FF2B5EF4-FFF2-40B4-BE49-F238E27FC236}">
              <a16:creationId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27668" y="69617167"/>
          <a:ext cx="3048000" cy="896185"/>
        </a:xfrm>
        <a:prstGeom prst="rect">
          <a:avLst/>
        </a:prstGeom>
        <a:noFill/>
        <a:ln w="1">
          <a:noFill/>
          <a:miter lim="800000"/>
          <a:headEnd/>
          <a:tailEnd type="none" w="med" len="med"/>
        </a:ln>
        <a:effectLst/>
      </xdr:spPr>
    </xdr:pic>
    <xdr:clientData/>
  </xdr:twoCellAnchor>
  <xdr:twoCellAnchor editAs="oneCell">
    <xdr:from>
      <xdr:col>2</xdr:col>
      <xdr:colOff>42333</xdr:colOff>
      <xdr:row>358</xdr:row>
      <xdr:rowOff>137584</xdr:rowOff>
    </xdr:from>
    <xdr:to>
      <xdr:col>9</xdr:col>
      <xdr:colOff>1002505</xdr:colOff>
      <xdr:row>363</xdr:row>
      <xdr:rowOff>161166</xdr:rowOff>
    </xdr:to>
    <xdr:pic>
      <xdr:nvPicPr>
        <xdr:cNvPr id="1186" name="Picture 162" descr="If we assume all twenty consecutive passby measurements are identical, for purposes of comparing noise metrics, we find LAmax = LpASmax">
          <a:extLst>
            <a:ext uri="{FF2B5EF4-FFF2-40B4-BE49-F238E27FC236}">
              <a16:creationId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70000" y="70940084"/>
          <a:ext cx="8112125" cy="972905"/>
        </a:xfrm>
        <a:prstGeom prst="rect">
          <a:avLst/>
        </a:prstGeom>
        <a:noFill/>
        <a:ln w="1">
          <a:noFill/>
          <a:miter lim="800000"/>
          <a:headEnd/>
          <a:tailEnd type="none" w="med" len="med"/>
        </a:ln>
        <a:effectLst/>
      </xdr:spPr>
    </xdr:pic>
    <xdr:clientData/>
  </xdr:twoCellAnchor>
  <xdr:twoCellAnchor editAs="oneCell">
    <xdr:from>
      <xdr:col>2</xdr:col>
      <xdr:colOff>878416</xdr:colOff>
      <xdr:row>364</xdr:row>
      <xdr:rowOff>134159</xdr:rowOff>
    </xdr:from>
    <xdr:to>
      <xdr:col>3</xdr:col>
      <xdr:colOff>323452</xdr:colOff>
      <xdr:row>366</xdr:row>
      <xdr:rowOff>74082</xdr:rowOff>
    </xdr:to>
    <xdr:pic>
      <xdr:nvPicPr>
        <xdr:cNvPr id="1187" name="Picture 163" descr="continued equation from above">
          <a:extLst>
            <a:ext uri="{FF2B5EF4-FFF2-40B4-BE49-F238E27FC236}">
              <a16:creationId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106083" y="72079659"/>
          <a:ext cx="1508786" cy="320924"/>
        </a:xfrm>
        <a:prstGeom prst="rect">
          <a:avLst/>
        </a:prstGeom>
        <a:noFill/>
        <a:ln w="1">
          <a:noFill/>
          <a:miter lim="800000"/>
          <a:headEnd/>
          <a:tailEnd type="none" w="med" len="med"/>
        </a:ln>
        <a:effectLst/>
      </xdr:spPr>
    </xdr:pic>
    <xdr:clientData/>
  </xdr:twoCellAnchor>
  <xdr:twoCellAnchor editAs="oneCell">
    <xdr:from>
      <xdr:col>4</xdr:col>
      <xdr:colOff>687917</xdr:colOff>
      <xdr:row>364</xdr:row>
      <xdr:rowOff>174960</xdr:rowOff>
    </xdr:from>
    <xdr:to>
      <xdr:col>6</xdr:col>
      <xdr:colOff>182563</xdr:colOff>
      <xdr:row>366</xdr:row>
      <xdr:rowOff>28574</xdr:rowOff>
    </xdr:to>
    <xdr:pic>
      <xdr:nvPicPr>
        <xdr:cNvPr id="1188" name="Picture 164" descr="continued equation from above">
          <a:extLst>
            <a:ext uri="{FF2B5EF4-FFF2-40B4-BE49-F238E27FC236}">
              <a16:creationId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688417" y="72120460"/>
          <a:ext cx="960966" cy="240965"/>
        </a:xfrm>
        <a:prstGeom prst="rect">
          <a:avLst/>
        </a:prstGeom>
        <a:noFill/>
        <a:ln w="1">
          <a:noFill/>
          <a:miter lim="800000"/>
          <a:headEnd/>
          <a:tailEnd type="none" w="med" len="med"/>
        </a:ln>
        <a:effectLst/>
      </xdr:spPr>
    </xdr:pic>
    <xdr:clientData/>
  </xdr:twoCellAnchor>
  <xdr:twoCellAnchor editAs="oneCell">
    <xdr:from>
      <xdr:col>2</xdr:col>
      <xdr:colOff>51954</xdr:colOff>
      <xdr:row>1</xdr:row>
      <xdr:rowOff>147204</xdr:rowOff>
    </xdr:from>
    <xdr:to>
      <xdr:col>5</xdr:col>
      <xdr:colOff>353002</xdr:colOff>
      <xdr:row>4</xdr:row>
      <xdr:rowOff>172114</xdr:rowOff>
    </xdr:to>
    <xdr:pic>
      <xdr:nvPicPr>
        <xdr:cNvPr id="270" name="Picture 2" descr="U.S. Department of Transportation/Federal Railroad Administration logo">
          <a:extLst>
            <a:ext uri="{FF2B5EF4-FFF2-40B4-BE49-F238E27FC236}">
              <a16:creationId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64227" y="337704"/>
          <a:ext cx="3695700" cy="596410"/>
        </a:xfrm>
        <a:prstGeom prst="rect">
          <a:avLst/>
        </a:prstGeom>
        <a:noFill/>
        <a:ln w="1">
          <a:noFill/>
          <a:miter lim="800000"/>
          <a:headEnd/>
          <a:tailEnd type="none" w="med" len="med"/>
        </a:ln>
        <a:effectLst/>
      </xdr:spPr>
    </xdr:pic>
    <xdr:clientData/>
  </xdr:twoCellAnchor>
  <xdr:twoCellAnchor editAs="oneCell">
    <xdr:from>
      <xdr:col>18</xdr:col>
      <xdr:colOff>744682</xdr:colOff>
      <xdr:row>1</xdr:row>
      <xdr:rowOff>138545</xdr:rowOff>
    </xdr:from>
    <xdr:to>
      <xdr:col>20</xdr:col>
      <xdr:colOff>150882</xdr:colOff>
      <xdr:row>4</xdr:row>
      <xdr:rowOff>159697</xdr:rowOff>
    </xdr:to>
    <xdr:pic>
      <xdr:nvPicPr>
        <xdr:cNvPr id="271" name="Picture 270" descr="ricardo logo">
          <a:extLst>
            <a:ext uri="{FF2B5EF4-FFF2-40B4-BE49-F238E27FC236}">
              <a16:creationId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4053705" y="329045"/>
          <a:ext cx="826292" cy="595827"/>
        </a:xfrm>
        <a:prstGeom prst="rect">
          <a:avLst/>
        </a:prstGeom>
        <a:noFill/>
        <a:ln w="1">
          <a:noFill/>
          <a:miter lim="800000"/>
          <a:headEnd/>
          <a:tailEnd type="none" w="med" len="med"/>
        </a:ln>
        <a:effectLst/>
      </xdr:spPr>
    </xdr:pic>
    <xdr:clientData/>
  </xdr:twoCellAnchor>
  <xdr:twoCellAnchor editAs="oneCell">
    <xdr:from>
      <xdr:col>2</xdr:col>
      <xdr:colOff>0</xdr:colOff>
      <xdr:row>380</xdr:row>
      <xdr:rowOff>0</xdr:rowOff>
    </xdr:from>
    <xdr:to>
      <xdr:col>9</xdr:col>
      <xdr:colOff>37695</xdr:colOff>
      <xdr:row>395</xdr:row>
      <xdr:rowOff>104924</xdr:rowOff>
    </xdr:to>
    <xdr:pic>
      <xdr:nvPicPr>
        <xdr:cNvPr id="2" name="Picture 1" descr="measurement uncertainty">
          <a:extLst>
            <a:ext uri="{FF2B5EF4-FFF2-40B4-BE49-F238E27FC236}">
              <a16:creationId xmlns:a16="http://schemas.microsoft.com/office/drawing/2014/main" id="{9A80E388-7805-44A8-8FDA-165A6D98C74B}"/>
            </a:ext>
          </a:extLst>
        </xdr:cNvPr>
        <xdr:cNvPicPr>
          <a:picLocks noChangeAspect="1"/>
        </xdr:cNvPicPr>
      </xdr:nvPicPr>
      <xdr:blipFill>
        <a:blip xmlns:r="http://schemas.openxmlformats.org/officeDocument/2006/relationships" r:embed="rId11"/>
        <a:stretch>
          <a:fillRect/>
        </a:stretch>
      </xdr:blipFill>
      <xdr:spPr>
        <a:xfrm>
          <a:off x="1219200" y="72301100"/>
          <a:ext cx="7563239" cy="2870348"/>
        </a:xfrm>
        <a:prstGeom prst="rect">
          <a:avLst/>
        </a:prstGeom>
      </xdr:spPr>
    </xdr:pic>
    <xdr:clientData/>
  </xdr:twoCellAnchor>
  <xdr:twoCellAnchor editAs="oneCell">
    <xdr:from>
      <xdr:col>1</xdr:col>
      <xdr:colOff>269855</xdr:colOff>
      <xdr:row>21</xdr:row>
      <xdr:rowOff>71429</xdr:rowOff>
    </xdr:from>
    <xdr:to>
      <xdr:col>10</xdr:col>
      <xdr:colOff>446862</xdr:colOff>
      <xdr:row>44</xdr:row>
      <xdr:rowOff>122230</xdr:rowOff>
    </xdr:to>
    <xdr:pic>
      <xdr:nvPicPr>
        <xdr:cNvPr id="3" name="Picture 2" descr="pass-by noise metric: measurement uncertainty chart for korean HEMU-430X, Thalys PBKA, CRH3 Series (based on Siemens)">
          <a:extLst>
            <a:ext uri="{FF2B5EF4-FFF2-40B4-BE49-F238E27FC236}">
              <a16:creationId xmlns:a16="http://schemas.microsoft.com/office/drawing/2014/main" id="{0CF1556B-271F-4387-B527-848909FE923A}"/>
            </a:ext>
          </a:extLst>
        </xdr:cNvPr>
        <xdr:cNvPicPr>
          <a:picLocks noChangeAspect="1"/>
        </xdr:cNvPicPr>
      </xdr:nvPicPr>
      <xdr:blipFill>
        <a:blip xmlns:r="http://schemas.openxmlformats.org/officeDocument/2006/relationships" r:embed="rId12"/>
        <a:stretch>
          <a:fillRect/>
        </a:stretch>
      </xdr:blipFill>
      <xdr:spPr>
        <a:xfrm>
          <a:off x="881043" y="3905242"/>
          <a:ext cx="9485313" cy="4246563"/>
        </a:xfrm>
        <a:prstGeom prst="rect">
          <a:avLst/>
        </a:prstGeom>
      </xdr:spPr>
    </xdr:pic>
    <xdr:clientData/>
  </xdr:twoCellAnchor>
  <xdr:twoCellAnchor editAs="oneCell">
    <xdr:from>
      <xdr:col>2</xdr:col>
      <xdr:colOff>0</xdr:colOff>
      <xdr:row>54</xdr:row>
      <xdr:rowOff>87306</xdr:rowOff>
    </xdr:from>
    <xdr:to>
      <xdr:col>10</xdr:col>
      <xdr:colOff>429419</xdr:colOff>
      <xdr:row>75</xdr:row>
      <xdr:rowOff>131846</xdr:rowOff>
    </xdr:to>
    <xdr:pic>
      <xdr:nvPicPr>
        <xdr:cNvPr id="10" name="Picture 9" descr="pass-by noise metric chart for korean HEMU-430X, Thalys PBKA, CRH3 Series (based on Siemens)">
          <a:extLst>
            <a:ext uri="{FF2B5EF4-FFF2-40B4-BE49-F238E27FC236}">
              <a16:creationId xmlns:a16="http://schemas.microsoft.com/office/drawing/2014/main" id="{31E2D660-CE9E-4D3E-A2E6-95BA83397ABA}"/>
            </a:ext>
          </a:extLst>
        </xdr:cNvPr>
        <xdr:cNvPicPr>
          <a:picLocks noChangeAspect="1"/>
        </xdr:cNvPicPr>
      </xdr:nvPicPr>
      <xdr:blipFill>
        <a:blip xmlns:r="http://schemas.openxmlformats.org/officeDocument/2006/relationships" r:embed="rId13"/>
        <a:stretch>
          <a:fillRect/>
        </a:stretch>
      </xdr:blipFill>
      <xdr:spPr>
        <a:xfrm>
          <a:off x="1222375" y="9969494"/>
          <a:ext cx="9120188" cy="3878352"/>
        </a:xfrm>
        <a:prstGeom prst="rect">
          <a:avLst/>
        </a:prstGeom>
      </xdr:spPr>
    </xdr:pic>
    <xdr:clientData/>
  </xdr:twoCellAnchor>
  <xdr:twoCellAnchor editAs="oneCell">
    <xdr:from>
      <xdr:col>1</xdr:col>
      <xdr:colOff>611186</xdr:colOff>
      <xdr:row>88</xdr:row>
      <xdr:rowOff>31750</xdr:rowOff>
    </xdr:from>
    <xdr:to>
      <xdr:col>10</xdr:col>
      <xdr:colOff>445294</xdr:colOff>
      <xdr:row>106</xdr:row>
      <xdr:rowOff>149893</xdr:rowOff>
    </xdr:to>
    <xdr:pic>
      <xdr:nvPicPr>
        <xdr:cNvPr id="15" name="Picture 14" descr="Comparison of LpAeq,Tp Calculations&#10;">
          <a:extLst>
            <a:ext uri="{FF2B5EF4-FFF2-40B4-BE49-F238E27FC236}">
              <a16:creationId xmlns:a16="http://schemas.microsoft.com/office/drawing/2014/main" id="{7E16A80E-799A-450C-9DF0-6A6EC6BA723F}"/>
            </a:ext>
          </a:extLst>
        </xdr:cNvPr>
        <xdr:cNvPicPr>
          <a:picLocks noChangeAspect="1"/>
        </xdr:cNvPicPr>
      </xdr:nvPicPr>
      <xdr:blipFill>
        <a:blip xmlns:r="http://schemas.openxmlformats.org/officeDocument/2006/relationships" r:embed="rId14"/>
        <a:stretch>
          <a:fillRect/>
        </a:stretch>
      </xdr:blipFill>
      <xdr:spPr>
        <a:xfrm>
          <a:off x="1222374" y="16168688"/>
          <a:ext cx="9136064" cy="3404268"/>
        </a:xfrm>
        <a:prstGeom prst="rect">
          <a:avLst/>
        </a:prstGeom>
      </xdr:spPr>
    </xdr:pic>
    <xdr:clientData/>
  </xdr:twoCellAnchor>
  <xdr:twoCellAnchor editAs="oneCell">
    <xdr:from>
      <xdr:col>2</xdr:col>
      <xdr:colOff>0</xdr:colOff>
      <xdr:row>118</xdr:row>
      <xdr:rowOff>23814</xdr:rowOff>
    </xdr:from>
    <xdr:to>
      <xdr:col>10</xdr:col>
      <xdr:colOff>336549</xdr:colOff>
      <xdr:row>134</xdr:row>
      <xdr:rowOff>85321</xdr:rowOff>
    </xdr:to>
    <xdr:pic>
      <xdr:nvPicPr>
        <xdr:cNvPr id="16" name="Picture 15" descr="compliance with china noise regulations">
          <a:extLst>
            <a:ext uri="{FF2B5EF4-FFF2-40B4-BE49-F238E27FC236}">
              <a16:creationId xmlns:a16="http://schemas.microsoft.com/office/drawing/2014/main" id="{FCE7F19E-2211-440B-B5BB-702B5B638468}"/>
            </a:ext>
          </a:extLst>
        </xdr:cNvPr>
        <xdr:cNvPicPr>
          <a:picLocks noChangeAspect="1"/>
        </xdr:cNvPicPr>
      </xdr:nvPicPr>
      <xdr:blipFill>
        <a:blip xmlns:r="http://schemas.openxmlformats.org/officeDocument/2006/relationships" r:embed="rId15"/>
        <a:stretch>
          <a:fillRect/>
        </a:stretch>
      </xdr:blipFill>
      <xdr:spPr>
        <a:xfrm>
          <a:off x="1222375" y="21709064"/>
          <a:ext cx="9017000" cy="2979332"/>
        </a:xfrm>
        <a:prstGeom prst="rect">
          <a:avLst/>
        </a:prstGeom>
      </xdr:spPr>
    </xdr:pic>
    <xdr:clientData/>
  </xdr:twoCellAnchor>
  <xdr:twoCellAnchor editAs="oneCell">
    <xdr:from>
      <xdr:col>2</xdr:col>
      <xdr:colOff>0</xdr:colOff>
      <xdr:row>177</xdr:row>
      <xdr:rowOff>0</xdr:rowOff>
    </xdr:from>
    <xdr:to>
      <xdr:col>13</xdr:col>
      <xdr:colOff>600869</xdr:colOff>
      <xdr:row>206</xdr:row>
      <xdr:rowOff>163512</xdr:rowOff>
    </xdr:to>
    <xdr:pic>
      <xdr:nvPicPr>
        <xdr:cNvPr id="17" name="Picture 16" descr="mitigation methods required if Ln exceeds 60 dB(A) for example barriers">
          <a:extLst>
            <a:ext uri="{FF2B5EF4-FFF2-40B4-BE49-F238E27FC236}">
              <a16:creationId xmlns:a16="http://schemas.microsoft.com/office/drawing/2014/main" id="{180F4AFA-0B3E-4981-94D9-1346F4925822}"/>
            </a:ext>
          </a:extLst>
        </xdr:cNvPr>
        <xdr:cNvPicPr>
          <a:picLocks noChangeAspect="1"/>
        </xdr:cNvPicPr>
      </xdr:nvPicPr>
      <xdr:blipFill>
        <a:blip xmlns:r="http://schemas.openxmlformats.org/officeDocument/2006/relationships" r:embed="rId16"/>
        <a:stretch>
          <a:fillRect/>
        </a:stretch>
      </xdr:blipFill>
      <xdr:spPr>
        <a:xfrm>
          <a:off x="1222375" y="33448625"/>
          <a:ext cx="11747500" cy="5461000"/>
        </a:xfrm>
        <a:prstGeom prst="rect">
          <a:avLst/>
        </a:prstGeom>
      </xdr:spPr>
    </xdr:pic>
    <xdr:clientData/>
  </xdr:twoCellAnchor>
  <xdr:twoCellAnchor editAs="oneCell">
    <xdr:from>
      <xdr:col>2</xdr:col>
      <xdr:colOff>0</xdr:colOff>
      <xdr:row>232</xdr:row>
      <xdr:rowOff>0</xdr:rowOff>
    </xdr:from>
    <xdr:to>
      <xdr:col>14</xdr:col>
      <xdr:colOff>102394</xdr:colOff>
      <xdr:row>262</xdr:row>
      <xdr:rowOff>170679</xdr:rowOff>
    </xdr:to>
    <xdr:pic>
      <xdr:nvPicPr>
        <xdr:cNvPr id="19" name="Picture 18" descr="mitigation methods required if Ld exceeds 70 dB(A) for example barriers">
          <a:extLst>
            <a:ext uri="{FF2B5EF4-FFF2-40B4-BE49-F238E27FC236}">
              <a16:creationId xmlns:a16="http://schemas.microsoft.com/office/drawing/2014/main" id="{7D491792-7534-4D9F-BF10-BDEE3953DDCF}"/>
            </a:ext>
          </a:extLst>
        </xdr:cNvPr>
        <xdr:cNvPicPr>
          <a:picLocks noChangeAspect="1"/>
        </xdr:cNvPicPr>
      </xdr:nvPicPr>
      <xdr:blipFill>
        <a:blip xmlns:r="http://schemas.openxmlformats.org/officeDocument/2006/relationships" r:embed="rId17"/>
        <a:stretch>
          <a:fillRect/>
        </a:stretch>
      </xdr:blipFill>
      <xdr:spPr>
        <a:xfrm>
          <a:off x="1222375" y="44148375"/>
          <a:ext cx="12065000" cy="5647553"/>
        </a:xfrm>
        <a:prstGeom prst="rect">
          <a:avLst/>
        </a:prstGeom>
      </xdr:spPr>
    </xdr:pic>
    <xdr:clientData/>
  </xdr:twoCellAnchor>
  <xdr:twoCellAnchor editAs="oneCell">
    <xdr:from>
      <xdr:col>2</xdr:col>
      <xdr:colOff>0</xdr:colOff>
      <xdr:row>312</xdr:row>
      <xdr:rowOff>182561</xdr:rowOff>
    </xdr:from>
    <xdr:to>
      <xdr:col>15</xdr:col>
      <xdr:colOff>68365</xdr:colOff>
      <xdr:row>346</xdr:row>
      <xdr:rowOff>3174</xdr:rowOff>
    </xdr:to>
    <xdr:pic>
      <xdr:nvPicPr>
        <xdr:cNvPr id="20" name="Picture 19" descr="mitigation methods required">
          <a:extLst>
            <a:ext uri="{FF2B5EF4-FFF2-40B4-BE49-F238E27FC236}">
              <a16:creationId xmlns:a16="http://schemas.microsoft.com/office/drawing/2014/main" id="{E2C10AEA-C3D3-4B24-B351-A5981118B09B}"/>
            </a:ext>
          </a:extLst>
        </xdr:cNvPr>
        <xdr:cNvPicPr>
          <a:picLocks noChangeAspect="1"/>
        </xdr:cNvPicPr>
      </xdr:nvPicPr>
      <xdr:blipFill>
        <a:blip xmlns:r="http://schemas.openxmlformats.org/officeDocument/2006/relationships" r:embed="rId18"/>
        <a:stretch>
          <a:fillRect/>
        </a:stretch>
      </xdr:blipFill>
      <xdr:spPr>
        <a:xfrm>
          <a:off x="1222375" y="60594874"/>
          <a:ext cx="12739790" cy="60245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xdr:colOff>
      <xdr:row>0</xdr:row>
      <xdr:rowOff>175115</xdr:rowOff>
    </xdr:from>
    <xdr:to>
      <xdr:col>6</xdr:col>
      <xdr:colOff>429381</xdr:colOff>
      <xdr:row>4</xdr:row>
      <xdr:rowOff>9525</xdr:rowOff>
    </xdr:to>
    <xdr:pic>
      <xdr:nvPicPr>
        <xdr:cNvPr id="5" name="Picture 4" descr="US Department of Transportation/Federal Railroad Administration">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95850" y="746615"/>
          <a:ext cx="2921000" cy="596410"/>
        </a:xfrm>
        <a:prstGeom prst="rect">
          <a:avLst/>
        </a:prstGeom>
        <a:noFill/>
        <a:ln w="1">
          <a:noFill/>
          <a:miter lim="800000"/>
          <a:headEnd/>
          <a:tailEnd type="none" w="med" len="med"/>
        </a:ln>
        <a:effectLst/>
      </xdr:spPr>
    </xdr:pic>
    <xdr:clientData/>
  </xdr:twoCellAnchor>
  <xdr:twoCellAnchor editAs="oneCell">
    <xdr:from>
      <xdr:col>13</xdr:col>
      <xdr:colOff>314325</xdr:colOff>
      <xdr:row>0</xdr:row>
      <xdr:rowOff>152400</xdr:rowOff>
    </xdr:from>
    <xdr:to>
      <xdr:col>14</xdr:col>
      <xdr:colOff>188116</xdr:colOff>
      <xdr:row>4</xdr:row>
      <xdr:rowOff>3010</xdr:rowOff>
    </xdr:to>
    <xdr:pic>
      <xdr:nvPicPr>
        <xdr:cNvPr id="6" name="Picture 5" descr="Ricardo">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83150" y="152400"/>
          <a:ext cx="826292" cy="595827"/>
        </a:xfrm>
        <a:prstGeom prst="rect">
          <a:avLst/>
        </a:prstGeom>
        <a:noFill/>
        <a:ln w="1">
          <a:noFill/>
          <a:miter lim="800000"/>
          <a:headEnd/>
          <a:tailEnd type="none" w="med" len="med"/>
        </a:ln>
        <a:effectLst/>
      </xdr:spPr>
    </xdr:pic>
    <xdr:clientData/>
  </xdr:twoCellAnchor>
  <xdr:twoCellAnchor>
    <xdr:from>
      <xdr:col>5</xdr:col>
      <xdr:colOff>211667</xdr:colOff>
      <xdr:row>39</xdr:row>
      <xdr:rowOff>179917</xdr:rowOff>
    </xdr:from>
    <xdr:to>
      <xdr:col>6</xdr:col>
      <xdr:colOff>211667</xdr:colOff>
      <xdr:row>42</xdr:row>
      <xdr:rowOff>95250</xdr:rowOff>
    </xdr:to>
    <xdr:sp macro="" textlink="">
      <xdr:nvSpPr>
        <xdr:cNvPr id="9" name="TextBox 8" descr="10 dB(A) lower than SPL when Train Nose Passes Microphone&#10;">
          <a:extLst>
            <a:ext uri="{FF2B5EF4-FFF2-40B4-BE49-F238E27FC236}">
              <a16:creationId xmlns:a16="http://schemas.microsoft.com/office/drawing/2014/main" id="{00000000-0008-0000-0700-000009000000}"/>
            </a:ext>
          </a:extLst>
        </xdr:cNvPr>
        <xdr:cNvSpPr txBox="1"/>
      </xdr:nvSpPr>
      <xdr:spPr>
        <a:xfrm>
          <a:off x="3280834" y="7905750"/>
          <a:ext cx="1979083" cy="486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10</a:t>
          </a:r>
          <a:r>
            <a:rPr lang="en-US" sz="1100" baseline="0"/>
            <a:t> dB(A) lower than SPL when Train Nose Passes Microphone</a:t>
          </a:r>
          <a:endParaRPr lang="en-US" sz="1100"/>
        </a:p>
      </xdr:txBody>
    </xdr:sp>
    <xdr:clientData/>
  </xdr:twoCellAnchor>
  <xdr:twoCellAnchor>
    <xdr:from>
      <xdr:col>5</xdr:col>
      <xdr:colOff>10583</xdr:colOff>
      <xdr:row>41</xdr:row>
      <xdr:rowOff>31750</xdr:rowOff>
    </xdr:from>
    <xdr:to>
      <xdr:col>5</xdr:col>
      <xdr:colOff>211667</xdr:colOff>
      <xdr:row>41</xdr:row>
      <xdr:rowOff>31750</xdr:rowOff>
    </xdr:to>
    <xdr:cxnSp macro="">
      <xdr:nvCxnSpPr>
        <xdr:cNvPr id="11" name="Straight Arrow Connector 10" descr="arrow&#10;">
          <a:extLst>
            <a:ext uri="{FF2B5EF4-FFF2-40B4-BE49-F238E27FC236}">
              <a16:creationId xmlns:a16="http://schemas.microsoft.com/office/drawing/2014/main" id="{00000000-0008-0000-0700-00000B000000}"/>
            </a:ext>
          </a:extLst>
        </xdr:cNvPr>
        <xdr:cNvCxnSpPr>
          <a:stCxn id="9" idx="1"/>
        </xdr:cNvCxnSpPr>
      </xdr:nvCxnSpPr>
      <xdr:spPr>
        <a:xfrm flipH="1" flipV="1">
          <a:off x="3079750" y="813858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190501</xdr:colOff>
      <xdr:row>44</xdr:row>
      <xdr:rowOff>158751</xdr:rowOff>
    </xdr:from>
    <xdr:to>
      <xdr:col>6</xdr:col>
      <xdr:colOff>190501</xdr:colOff>
      <xdr:row>46</xdr:row>
      <xdr:rowOff>42335</xdr:rowOff>
    </xdr:to>
    <xdr:sp macro="" textlink="">
      <xdr:nvSpPr>
        <xdr:cNvPr id="12" name="TextBox 11" descr="Train Nose Passes Microphone&#10;">
          <a:extLst>
            <a:ext uri="{FF2B5EF4-FFF2-40B4-BE49-F238E27FC236}">
              <a16:creationId xmlns:a16="http://schemas.microsoft.com/office/drawing/2014/main" id="{00000000-0008-0000-0700-00000C000000}"/>
            </a:ext>
          </a:extLst>
        </xdr:cNvPr>
        <xdr:cNvSpPr txBox="1"/>
      </xdr:nvSpPr>
      <xdr:spPr>
        <a:xfrm>
          <a:off x="3259668" y="8837084"/>
          <a:ext cx="1979083"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Train Nose Passes Microphone</a:t>
          </a:r>
          <a:endParaRPr lang="en-US" sz="1100"/>
        </a:p>
      </xdr:txBody>
    </xdr:sp>
    <xdr:clientData/>
  </xdr:twoCellAnchor>
  <xdr:twoCellAnchor>
    <xdr:from>
      <xdr:col>5</xdr:col>
      <xdr:colOff>10584</xdr:colOff>
      <xdr:row>45</xdr:row>
      <xdr:rowOff>95250</xdr:rowOff>
    </xdr:from>
    <xdr:to>
      <xdr:col>5</xdr:col>
      <xdr:colOff>211668</xdr:colOff>
      <xdr:row>45</xdr:row>
      <xdr:rowOff>95250</xdr:rowOff>
    </xdr:to>
    <xdr:cxnSp macro="">
      <xdr:nvCxnSpPr>
        <xdr:cNvPr id="13" name="Straight Arrow Connector 12" descr="arrow">
          <a:extLst>
            <a:ext uri="{FF2B5EF4-FFF2-40B4-BE49-F238E27FC236}">
              <a16:creationId xmlns:a16="http://schemas.microsoft.com/office/drawing/2014/main" id="{00000000-0008-0000-0700-00000D000000}"/>
            </a:ext>
          </a:extLst>
        </xdr:cNvPr>
        <xdr:cNvCxnSpPr/>
      </xdr:nvCxnSpPr>
      <xdr:spPr>
        <a:xfrm flipH="1" flipV="1">
          <a:off x="3079751" y="896408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10583</xdr:colOff>
      <xdr:row>46</xdr:row>
      <xdr:rowOff>105833</xdr:rowOff>
    </xdr:from>
    <xdr:to>
      <xdr:col>5</xdr:col>
      <xdr:colOff>211667</xdr:colOff>
      <xdr:row>46</xdr:row>
      <xdr:rowOff>105833</xdr:rowOff>
    </xdr:to>
    <xdr:cxnSp macro="">
      <xdr:nvCxnSpPr>
        <xdr:cNvPr id="14" name="Straight Arrow Connector 13" descr="arrow">
          <a:extLst>
            <a:ext uri="{FF2B5EF4-FFF2-40B4-BE49-F238E27FC236}">
              <a16:creationId xmlns:a16="http://schemas.microsoft.com/office/drawing/2014/main" id="{00000000-0008-0000-0700-00000E000000}"/>
            </a:ext>
          </a:extLst>
        </xdr:cNvPr>
        <xdr:cNvCxnSpPr/>
      </xdr:nvCxnSpPr>
      <xdr:spPr>
        <a:xfrm flipH="1" flipV="1">
          <a:off x="3079750" y="9165166"/>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25400</xdr:colOff>
      <xdr:row>65</xdr:row>
      <xdr:rowOff>88900</xdr:rowOff>
    </xdr:from>
    <xdr:to>
      <xdr:col>5</xdr:col>
      <xdr:colOff>226484</xdr:colOff>
      <xdr:row>65</xdr:row>
      <xdr:rowOff>88900</xdr:rowOff>
    </xdr:to>
    <xdr:cxnSp macro="">
      <xdr:nvCxnSpPr>
        <xdr:cNvPr id="15" name="Straight Arrow Connector 14" descr="arrow">
          <a:extLst>
            <a:ext uri="{FF2B5EF4-FFF2-40B4-BE49-F238E27FC236}">
              <a16:creationId xmlns:a16="http://schemas.microsoft.com/office/drawing/2014/main" id="{00000000-0008-0000-0700-00000F000000}"/>
            </a:ext>
          </a:extLst>
        </xdr:cNvPr>
        <xdr:cNvCxnSpPr/>
      </xdr:nvCxnSpPr>
      <xdr:spPr>
        <a:xfrm flipH="1" flipV="1">
          <a:off x="3094567" y="1276773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66</xdr:row>
      <xdr:rowOff>103717</xdr:rowOff>
    </xdr:from>
    <xdr:to>
      <xdr:col>5</xdr:col>
      <xdr:colOff>220134</xdr:colOff>
      <xdr:row>66</xdr:row>
      <xdr:rowOff>103717</xdr:rowOff>
    </xdr:to>
    <xdr:cxnSp macro="">
      <xdr:nvCxnSpPr>
        <xdr:cNvPr id="16" name="Straight Arrow Connector 15" descr="arrow">
          <a:extLst>
            <a:ext uri="{FF2B5EF4-FFF2-40B4-BE49-F238E27FC236}">
              <a16:creationId xmlns:a16="http://schemas.microsoft.com/office/drawing/2014/main" id="{00000000-0008-0000-0700-000010000000}"/>
            </a:ext>
          </a:extLst>
        </xdr:cNvPr>
        <xdr:cNvCxnSpPr/>
      </xdr:nvCxnSpPr>
      <xdr:spPr>
        <a:xfrm flipH="1" flipV="1">
          <a:off x="3088217" y="12973050"/>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33867</xdr:colOff>
      <xdr:row>67</xdr:row>
      <xdr:rowOff>107950</xdr:rowOff>
    </xdr:from>
    <xdr:to>
      <xdr:col>5</xdr:col>
      <xdr:colOff>234951</xdr:colOff>
      <xdr:row>67</xdr:row>
      <xdr:rowOff>107950</xdr:rowOff>
    </xdr:to>
    <xdr:cxnSp macro="">
      <xdr:nvCxnSpPr>
        <xdr:cNvPr id="17" name="Straight Arrow Connector 16" descr="arrow">
          <a:extLst>
            <a:ext uri="{FF2B5EF4-FFF2-40B4-BE49-F238E27FC236}">
              <a16:creationId xmlns:a16="http://schemas.microsoft.com/office/drawing/2014/main" id="{00000000-0008-0000-0700-000011000000}"/>
            </a:ext>
          </a:extLst>
        </xdr:cNvPr>
        <xdr:cNvCxnSpPr/>
      </xdr:nvCxnSpPr>
      <xdr:spPr>
        <a:xfrm flipH="1" flipV="1">
          <a:off x="3103034" y="13167783"/>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27517</xdr:colOff>
      <xdr:row>73</xdr:row>
      <xdr:rowOff>48684</xdr:rowOff>
    </xdr:from>
    <xdr:to>
      <xdr:col>5</xdr:col>
      <xdr:colOff>228601</xdr:colOff>
      <xdr:row>73</xdr:row>
      <xdr:rowOff>48684</xdr:rowOff>
    </xdr:to>
    <xdr:cxnSp macro="">
      <xdr:nvCxnSpPr>
        <xdr:cNvPr id="18" name="Straight Arrow Connector 17" descr="arrow">
          <a:extLst>
            <a:ext uri="{FF2B5EF4-FFF2-40B4-BE49-F238E27FC236}">
              <a16:creationId xmlns:a16="http://schemas.microsoft.com/office/drawing/2014/main" id="{00000000-0008-0000-0700-000012000000}"/>
            </a:ext>
          </a:extLst>
        </xdr:cNvPr>
        <xdr:cNvCxnSpPr/>
      </xdr:nvCxnSpPr>
      <xdr:spPr>
        <a:xfrm flipH="1" flipV="1">
          <a:off x="3096684" y="14251517"/>
          <a:ext cx="201084" cy="0"/>
        </a:xfrm>
        <a:prstGeom prst="straightConnector1">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169333</xdr:colOff>
      <xdr:row>45</xdr:row>
      <xdr:rowOff>169333</xdr:rowOff>
    </xdr:from>
    <xdr:to>
      <xdr:col>6</xdr:col>
      <xdr:colOff>295275</xdr:colOff>
      <xdr:row>47</xdr:row>
      <xdr:rowOff>52917</xdr:rowOff>
    </xdr:to>
    <xdr:sp macro="" textlink="">
      <xdr:nvSpPr>
        <xdr:cNvPr id="19" name="TextBox 18" descr="Start Time for LpASmax Calculation&#10;">
          <a:extLst>
            <a:ext uri="{FF2B5EF4-FFF2-40B4-BE49-F238E27FC236}">
              <a16:creationId xmlns:a16="http://schemas.microsoft.com/office/drawing/2014/main" id="{00000000-0008-0000-0700-000013000000}"/>
            </a:ext>
          </a:extLst>
        </xdr:cNvPr>
        <xdr:cNvSpPr txBox="1"/>
      </xdr:nvSpPr>
      <xdr:spPr>
        <a:xfrm>
          <a:off x="3217333" y="9037108"/>
          <a:ext cx="2107142" cy="264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Start Time for L</a:t>
          </a:r>
          <a:r>
            <a:rPr lang="en-US" sz="1100" baseline="-25000"/>
            <a:t>pASmax</a:t>
          </a:r>
          <a:r>
            <a:rPr lang="en-US" sz="1100" baseline="0"/>
            <a:t> Calculation</a:t>
          </a:r>
          <a:endParaRPr lang="en-US" sz="1100"/>
        </a:p>
      </xdr:txBody>
    </xdr:sp>
    <xdr:clientData/>
  </xdr:twoCellAnchor>
  <xdr:twoCellAnchor>
    <xdr:from>
      <xdr:col>5</xdr:col>
      <xdr:colOff>243417</xdr:colOff>
      <xdr:row>64</xdr:row>
      <xdr:rowOff>169333</xdr:rowOff>
    </xdr:from>
    <xdr:to>
      <xdr:col>6</xdr:col>
      <xdr:colOff>889000</xdr:colOff>
      <xdr:row>68</xdr:row>
      <xdr:rowOff>137583</xdr:rowOff>
    </xdr:to>
    <xdr:sp macro="" textlink="">
      <xdr:nvSpPr>
        <xdr:cNvPr id="20" name="TextBox 19" descr="Maximum Sound Pressure Level&#10;End Time for LpASmax Calculation&#10;Tail of Train Passes Microphone&#10;">
          <a:extLst>
            <a:ext uri="{FF2B5EF4-FFF2-40B4-BE49-F238E27FC236}">
              <a16:creationId xmlns:a16="http://schemas.microsoft.com/office/drawing/2014/main" id="{00000000-0008-0000-0700-000014000000}"/>
            </a:ext>
          </a:extLst>
        </xdr:cNvPr>
        <xdr:cNvSpPr txBox="1"/>
      </xdr:nvSpPr>
      <xdr:spPr>
        <a:xfrm>
          <a:off x="3312584" y="12657666"/>
          <a:ext cx="2624666" cy="730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Maximum Sound Pressure Level</a:t>
          </a:r>
        </a:p>
        <a:p>
          <a:r>
            <a:rPr lang="en-US" sz="1100" baseline="0"/>
            <a:t>End Time for L</a:t>
          </a:r>
          <a:r>
            <a:rPr lang="en-US" sz="1100" baseline="-25000"/>
            <a:t>pASmax</a:t>
          </a:r>
          <a:r>
            <a:rPr lang="en-US" sz="1100" baseline="0"/>
            <a:t> Calculation</a:t>
          </a:r>
        </a:p>
        <a:p>
          <a:r>
            <a:rPr lang="en-US" sz="1100" baseline="0"/>
            <a:t>Tail of Train Passes Microphone</a:t>
          </a:r>
          <a:endParaRPr lang="en-US" sz="1100"/>
        </a:p>
      </xdr:txBody>
    </xdr:sp>
    <xdr:clientData/>
  </xdr:twoCellAnchor>
  <xdr:twoCellAnchor>
    <xdr:from>
      <xdr:col>5</xdr:col>
      <xdr:colOff>254001</xdr:colOff>
      <xdr:row>72</xdr:row>
      <xdr:rowOff>31750</xdr:rowOff>
    </xdr:from>
    <xdr:to>
      <xdr:col>6</xdr:col>
      <xdr:colOff>254001</xdr:colOff>
      <xdr:row>74</xdr:row>
      <xdr:rowOff>127000</xdr:rowOff>
    </xdr:to>
    <xdr:sp macro="" textlink="">
      <xdr:nvSpPr>
        <xdr:cNvPr id="21" name="TextBox 20" descr="10 dB(A) lower than SPL when Train Tail Passes Microphone&#10;">
          <a:extLst>
            <a:ext uri="{FF2B5EF4-FFF2-40B4-BE49-F238E27FC236}">
              <a16:creationId xmlns:a16="http://schemas.microsoft.com/office/drawing/2014/main" id="{00000000-0008-0000-0700-000015000000}"/>
            </a:ext>
          </a:extLst>
        </xdr:cNvPr>
        <xdr:cNvSpPr txBox="1"/>
      </xdr:nvSpPr>
      <xdr:spPr>
        <a:xfrm>
          <a:off x="3323168" y="14044083"/>
          <a:ext cx="197908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t>10 dB(A) lower than SPL when Train Tail Passes Microphone</a:t>
          </a:r>
          <a:endParaRPr lang="en-US" sz="1100"/>
        </a:p>
      </xdr:txBody>
    </xdr:sp>
    <xdr:clientData/>
  </xdr:twoCellAnchor>
  <xdr:twoCellAnchor editAs="oneCell">
    <xdr:from>
      <xdr:col>6</xdr:col>
      <xdr:colOff>171450</xdr:colOff>
      <xdr:row>29</xdr:row>
      <xdr:rowOff>161925</xdr:rowOff>
    </xdr:from>
    <xdr:to>
      <xdr:col>14</xdr:col>
      <xdr:colOff>392793</xdr:colOff>
      <xdr:row>60</xdr:row>
      <xdr:rowOff>95250</xdr:rowOff>
    </xdr:to>
    <xdr:pic>
      <xdr:nvPicPr>
        <xdr:cNvPr id="1025" name="Picture 1" descr="plot of passby noise data, including key time parameters">
          <a:extLst>
            <a:ext uri="{FF2B5EF4-FFF2-40B4-BE49-F238E27FC236}">
              <a16:creationId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200650" y="5981700"/>
          <a:ext cx="9582150" cy="5838825"/>
        </a:xfrm>
        <a:prstGeom prst="rect">
          <a:avLst/>
        </a:prstGeom>
        <a:noFill/>
        <a:ln w="1">
          <a:noFill/>
          <a:miter lim="800000"/>
          <a:headEnd/>
          <a:tailEnd type="none" w="med" len="med"/>
        </a:ln>
        <a:effectLst/>
      </xdr:spPr>
    </xdr:pic>
    <xdr:clientData/>
  </xdr:twoCellAnchor>
  <xdr:twoCellAnchor editAs="oneCell">
    <xdr:from>
      <xdr:col>1</xdr:col>
      <xdr:colOff>381000</xdr:colOff>
      <xdr:row>10</xdr:row>
      <xdr:rowOff>107950</xdr:rowOff>
    </xdr:from>
    <xdr:to>
      <xdr:col>5</xdr:col>
      <xdr:colOff>1532814</xdr:colOff>
      <xdr:row>19</xdr:row>
      <xdr:rowOff>161112</xdr:rowOff>
    </xdr:to>
    <xdr:pic>
      <xdr:nvPicPr>
        <xdr:cNvPr id="2" name="Picture 1" descr="korean hemu-430x">
          <a:extLst>
            <a:ext uri="{FF2B5EF4-FFF2-40B4-BE49-F238E27FC236}">
              <a16:creationId xmlns:a16="http://schemas.microsoft.com/office/drawing/2014/main" id="{3AFAD28E-4ADE-4C7A-8BD2-6FB4FA84A32D}"/>
            </a:ext>
          </a:extLst>
        </xdr:cNvPr>
        <xdr:cNvPicPr>
          <a:picLocks noChangeAspect="1"/>
        </xdr:cNvPicPr>
      </xdr:nvPicPr>
      <xdr:blipFill>
        <a:blip xmlns:r="http://schemas.openxmlformats.org/officeDocument/2006/relationships" r:embed="rId4"/>
        <a:stretch>
          <a:fillRect/>
        </a:stretch>
      </xdr:blipFill>
      <xdr:spPr>
        <a:xfrm>
          <a:off x="1022350" y="1917700"/>
          <a:ext cx="3822896" cy="1809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609600</xdr:colOff>
      <xdr:row>25</xdr:row>
      <xdr:rowOff>9525</xdr:rowOff>
    </xdr:from>
    <xdr:to>
      <xdr:col>6</xdr:col>
      <xdr:colOff>428625</xdr:colOff>
      <xdr:row>28</xdr:row>
      <xdr:rowOff>202142</xdr:rowOff>
    </xdr:to>
    <xdr:pic>
      <xdr:nvPicPr>
        <xdr:cNvPr id="4" name="Picture 3" descr="the A-weighted equivalent continuous sound pressure level produced by the train as measured during the pass-by event">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219200" y="2371725"/>
          <a:ext cx="3819525" cy="842433"/>
        </a:xfrm>
        <a:prstGeom prst="rect">
          <a:avLst/>
        </a:prstGeom>
        <a:noFill/>
        <a:ln w="9525">
          <a:noFill/>
          <a:miter lim="800000"/>
          <a:headEnd/>
          <a:tailEnd/>
        </a:ln>
      </xdr:spPr>
    </xdr:pic>
    <xdr:clientData/>
  </xdr:twoCellAnchor>
  <xdr:twoCellAnchor editAs="oneCell">
    <xdr:from>
      <xdr:col>1</xdr:col>
      <xdr:colOff>800100</xdr:colOff>
      <xdr:row>31</xdr:row>
      <xdr:rowOff>13221</xdr:rowOff>
    </xdr:from>
    <xdr:to>
      <xdr:col>5</xdr:col>
      <xdr:colOff>911982</xdr:colOff>
      <xdr:row>35</xdr:row>
      <xdr:rowOff>39158</xdr:rowOff>
    </xdr:to>
    <xdr:pic>
      <xdr:nvPicPr>
        <xdr:cNvPr id="2049" name="Picture 1" descr="calculated from the passby data using the following riemann sum relationship">
          <a:extLst>
            <a:ext uri="{FF2B5EF4-FFF2-40B4-BE49-F238E27FC236}">
              <a16:creationId xmlns:a16="http://schemas.microsoft.com/office/drawing/2014/main" id="{00000000-0008-0000-0800-000001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9700" y="3747021"/>
          <a:ext cx="3169407" cy="872604"/>
        </a:xfrm>
        <a:prstGeom prst="rect">
          <a:avLst/>
        </a:prstGeom>
        <a:noFill/>
        <a:ln w="1">
          <a:noFill/>
          <a:miter lim="800000"/>
          <a:headEnd/>
          <a:tailEnd type="none" w="med" len="med"/>
        </a:ln>
        <a:effectLst/>
      </xdr:spPr>
    </xdr:pic>
    <xdr:clientData/>
  </xdr:twoCellAnchor>
  <xdr:twoCellAnchor editAs="oneCell">
    <xdr:from>
      <xdr:col>10</xdr:col>
      <xdr:colOff>419100</xdr:colOff>
      <xdr:row>53</xdr:row>
      <xdr:rowOff>38100</xdr:rowOff>
    </xdr:from>
    <xdr:to>
      <xdr:col>11</xdr:col>
      <xdr:colOff>828386</xdr:colOff>
      <xdr:row>56</xdr:row>
      <xdr:rowOff>31403</xdr:rowOff>
    </xdr:to>
    <xdr:pic>
      <xdr:nvPicPr>
        <xdr:cNvPr id="8" name="Picture 7" descr="Data Point Number for Start of Pass-by Event (time at which train nose passes microphone)">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86725" y="11515725"/>
          <a:ext cx="1228725" cy="558453"/>
        </a:xfrm>
        <a:prstGeom prst="rect">
          <a:avLst/>
        </a:prstGeom>
        <a:noFill/>
        <a:ln w="1">
          <a:noFill/>
          <a:miter lim="800000"/>
          <a:headEnd/>
          <a:tailEnd type="none" w="med" len="med"/>
        </a:ln>
        <a:effectLst/>
      </xdr:spPr>
    </xdr:pic>
    <xdr:clientData/>
  </xdr:twoCellAnchor>
  <xdr:twoCellAnchor editAs="oneCell">
    <xdr:from>
      <xdr:col>1</xdr:col>
      <xdr:colOff>638175</xdr:colOff>
      <xdr:row>55</xdr:row>
      <xdr:rowOff>123825</xdr:rowOff>
    </xdr:from>
    <xdr:to>
      <xdr:col>4</xdr:col>
      <xdr:colOff>427567</xdr:colOff>
      <xdr:row>59</xdr:row>
      <xdr:rowOff>64558</xdr:rowOff>
    </xdr:to>
    <xdr:pic>
      <xdr:nvPicPr>
        <xdr:cNvPr id="9" name="Picture 9" descr="Data Point Number for End of Passby Event (time at which train tail passes microphone)">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47775" y="12249150"/>
          <a:ext cx="2113492" cy="747183"/>
        </a:xfrm>
        <a:prstGeom prst="rect">
          <a:avLst/>
        </a:prstGeom>
        <a:noFill/>
        <a:ln w="1">
          <a:noFill/>
          <a:miter lim="800000"/>
          <a:headEnd/>
          <a:tailEnd type="none" w="med" len="med"/>
        </a:ln>
        <a:effectLst/>
      </xdr:spPr>
    </xdr:pic>
    <xdr:clientData/>
  </xdr:twoCellAnchor>
  <xdr:twoCellAnchor editAs="oneCell">
    <xdr:from>
      <xdr:col>2</xdr:col>
      <xdr:colOff>19050</xdr:colOff>
      <xdr:row>1</xdr:row>
      <xdr:rowOff>175115</xdr:rowOff>
    </xdr:from>
    <xdr:to>
      <xdr:col>6</xdr:col>
      <xdr:colOff>544589</xdr:colOff>
      <xdr:row>5</xdr:row>
      <xdr:rowOff>9525</xdr:rowOff>
    </xdr:to>
    <xdr:pic>
      <xdr:nvPicPr>
        <xdr:cNvPr id="10" name="Picture 9" descr="us department of transportation/federal railroad administration logo">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38250" y="175115"/>
          <a:ext cx="4335539" cy="596410"/>
        </a:xfrm>
        <a:prstGeom prst="rect">
          <a:avLst/>
        </a:prstGeom>
        <a:noFill/>
        <a:ln w="1">
          <a:noFill/>
          <a:miter lim="800000"/>
          <a:headEnd/>
          <a:tailEnd type="none" w="med" len="med"/>
        </a:ln>
        <a:effectLst/>
      </xdr:spPr>
    </xdr:pic>
    <xdr:clientData/>
  </xdr:twoCellAnchor>
  <xdr:twoCellAnchor editAs="oneCell">
    <xdr:from>
      <xdr:col>19</xdr:col>
      <xdr:colOff>381000</xdr:colOff>
      <xdr:row>1</xdr:row>
      <xdr:rowOff>137584</xdr:rowOff>
    </xdr:from>
    <xdr:to>
      <xdr:col>20</xdr:col>
      <xdr:colOff>477041</xdr:colOff>
      <xdr:row>4</xdr:row>
      <xdr:rowOff>161911</xdr:rowOff>
    </xdr:to>
    <xdr:pic>
      <xdr:nvPicPr>
        <xdr:cNvPr id="12" name="Picture 11" descr="ricardo logo">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409333" y="328084"/>
          <a:ext cx="826292" cy="595827"/>
        </a:xfrm>
        <a:prstGeom prst="rect">
          <a:avLst/>
        </a:prstGeom>
        <a:noFill/>
        <a:ln w="1">
          <a:noFill/>
          <a:miter lim="800000"/>
          <a:headEnd/>
          <a:tailEnd type="none" w="med" len="med"/>
        </a:ln>
        <a:effectLst/>
      </xdr:spPr>
    </xdr:pic>
    <xdr:clientData/>
  </xdr:twoCellAnchor>
  <xdr:twoCellAnchor editAs="oneCell">
    <xdr:from>
      <xdr:col>10</xdr:col>
      <xdr:colOff>419100</xdr:colOff>
      <xdr:row>95</xdr:row>
      <xdr:rowOff>38100</xdr:rowOff>
    </xdr:from>
    <xdr:to>
      <xdr:col>11</xdr:col>
      <xdr:colOff>828386</xdr:colOff>
      <xdr:row>97</xdr:row>
      <xdr:rowOff>173221</xdr:rowOff>
    </xdr:to>
    <xdr:pic>
      <xdr:nvPicPr>
        <xdr:cNvPr id="13" name="Picture 12" descr="Data Point Number for Start of Pass-by Event (time at which microphone begins recording)">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92017" y="10907183"/>
          <a:ext cx="1227666" cy="558453"/>
        </a:xfrm>
        <a:prstGeom prst="rect">
          <a:avLst/>
        </a:prstGeom>
        <a:noFill/>
        <a:ln w="1">
          <a:noFill/>
          <a:miter lim="800000"/>
          <a:headEnd/>
          <a:tailEnd type="none" w="med" len="med"/>
        </a:ln>
        <a:effectLst/>
      </xdr:spPr>
    </xdr:pic>
    <xdr:clientData/>
  </xdr:twoCellAnchor>
  <xdr:twoCellAnchor editAs="oneCell">
    <xdr:from>
      <xdr:col>1</xdr:col>
      <xdr:colOff>807508</xdr:colOff>
      <xdr:row>97</xdr:row>
      <xdr:rowOff>123824</xdr:rowOff>
    </xdr:from>
    <xdr:to>
      <xdr:col>4</xdr:col>
      <xdr:colOff>596900</xdr:colOff>
      <xdr:row>101</xdr:row>
      <xdr:rowOff>28571</xdr:rowOff>
    </xdr:to>
    <xdr:pic>
      <xdr:nvPicPr>
        <xdr:cNvPr id="14" name="Picture 9" descr="Data Point Number for End of Pass-by Event (time at which microphone ends recording)">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1341" y="19766491"/>
          <a:ext cx="2117726" cy="709082"/>
        </a:xfrm>
        <a:prstGeom prst="rect">
          <a:avLst/>
        </a:prstGeom>
        <a:noFill/>
        <a:ln w="1">
          <a:noFill/>
          <a:miter lim="800000"/>
          <a:headEnd/>
          <a:tailEnd type="none" w="med" len="med"/>
        </a:ln>
        <a:effectLst/>
      </xdr:spPr>
    </xdr:pic>
    <xdr:clientData/>
  </xdr:twoCellAnchor>
  <xdr:twoCellAnchor>
    <xdr:from>
      <xdr:col>15</xdr:col>
      <xdr:colOff>476251</xdr:colOff>
      <xdr:row>154</xdr:row>
      <xdr:rowOff>31750</xdr:rowOff>
    </xdr:from>
    <xdr:to>
      <xdr:col>20</xdr:col>
      <xdr:colOff>190501</xdr:colOff>
      <xdr:row>155</xdr:row>
      <xdr:rowOff>23091</xdr:rowOff>
    </xdr:to>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12234334" y="31675917"/>
          <a:ext cx="3714750" cy="181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a:latin typeface="+mn-lt"/>
            </a:rPr>
            <a:t>Measurement Uncertainty is </a:t>
          </a:r>
          <a:r>
            <a:rPr lang="en-US" sz="1100">
              <a:latin typeface="+mn-lt"/>
              <a:cs typeface="Arial"/>
            </a:rPr>
            <a:t>±3 dB</a:t>
          </a:r>
          <a:endParaRPr lang="en-US" sz="1100">
            <a:latin typeface="+mn-lt"/>
          </a:endParaRPr>
        </a:p>
      </xdr:txBody>
    </xdr:sp>
    <xdr:clientData/>
  </xdr:twoCellAnchor>
  <xdr:twoCellAnchor>
    <xdr:from>
      <xdr:col>15</xdr:col>
      <xdr:colOff>412751</xdr:colOff>
      <xdr:row>183</xdr:row>
      <xdr:rowOff>137584</xdr:rowOff>
    </xdr:from>
    <xdr:to>
      <xdr:col>20</xdr:col>
      <xdr:colOff>127001</xdr:colOff>
      <xdr:row>184</xdr:row>
      <xdr:rowOff>128925</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12170834" y="37475584"/>
          <a:ext cx="3714750" cy="181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a:latin typeface="+mn-lt"/>
            </a:rPr>
            <a:t>Measurement Uncertainty is </a:t>
          </a:r>
          <a:r>
            <a:rPr lang="en-US" sz="1100">
              <a:latin typeface="+mn-lt"/>
              <a:cs typeface="Arial"/>
            </a:rPr>
            <a:t>±3 dB</a:t>
          </a:r>
          <a:endParaRPr lang="en-US" sz="1100">
            <a:latin typeface="+mn-lt"/>
          </a:endParaRPr>
        </a:p>
      </xdr:txBody>
    </xdr:sp>
    <xdr:clientData/>
  </xdr:twoCellAnchor>
  <xdr:twoCellAnchor editAs="oneCell">
    <xdr:from>
      <xdr:col>15</xdr:col>
      <xdr:colOff>0</xdr:colOff>
      <xdr:row>131</xdr:row>
      <xdr:rowOff>181840</xdr:rowOff>
    </xdr:from>
    <xdr:to>
      <xdr:col>20</xdr:col>
      <xdr:colOff>825679</xdr:colOff>
      <xdr:row>144</xdr:row>
      <xdr:rowOff>63787</xdr:rowOff>
    </xdr:to>
    <xdr:pic>
      <xdr:nvPicPr>
        <xdr:cNvPr id="2" name="Picture 1" descr="ricardo calculated the K factor values for 12 pass-by noise data sets">
          <a:extLst>
            <a:ext uri="{FF2B5EF4-FFF2-40B4-BE49-F238E27FC236}">
              <a16:creationId xmlns:a16="http://schemas.microsoft.com/office/drawing/2014/main" id="{A83DFD65-5EA9-4B17-BAAE-A459537A27F9}"/>
            </a:ext>
          </a:extLst>
        </xdr:cNvPr>
        <xdr:cNvPicPr>
          <a:picLocks noChangeAspect="1"/>
        </xdr:cNvPicPr>
      </xdr:nvPicPr>
      <xdr:blipFill>
        <a:blip xmlns:r="http://schemas.openxmlformats.org/officeDocument/2006/relationships" r:embed="rId7"/>
        <a:stretch>
          <a:fillRect/>
        </a:stretch>
      </xdr:blipFill>
      <xdr:spPr>
        <a:xfrm>
          <a:off x="12720205" y="26505476"/>
          <a:ext cx="5161575" cy="26583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77"/>
  <sheetViews>
    <sheetView tabSelected="1" topLeftCell="A16" zoomScaleNormal="100" workbookViewId="0">
      <selection activeCell="K26" sqref="K26"/>
    </sheetView>
  </sheetViews>
  <sheetFormatPr defaultColWidth="9.1796875" defaultRowHeight="14.5"/>
  <cols>
    <col min="1" max="1" width="9.1796875" style="40"/>
    <col min="2" max="2" width="33.54296875" style="40" customWidth="1"/>
    <col min="3" max="3" width="85" style="40" customWidth="1"/>
    <col min="4" max="6" width="9.1796875" style="40"/>
    <col min="7" max="7" width="11.54296875" style="40" customWidth="1"/>
    <col min="8" max="8" width="9.7265625" style="40" bestFit="1" customWidth="1"/>
    <col min="9" max="16384" width="9.1796875" style="40"/>
  </cols>
  <sheetData>
    <row r="1" spans="1:21">
      <c r="A1" s="7"/>
      <c r="B1" s="8"/>
      <c r="C1" s="8"/>
      <c r="D1" s="8"/>
      <c r="E1" s="8"/>
      <c r="F1" s="8"/>
      <c r="G1" s="8"/>
      <c r="H1" s="8"/>
      <c r="I1" s="8"/>
      <c r="J1" s="9"/>
      <c r="K1" s="46"/>
      <c r="L1" s="46"/>
      <c r="M1" s="46"/>
      <c r="N1" s="46"/>
      <c r="O1" s="46"/>
      <c r="P1" s="46"/>
      <c r="Q1" s="46"/>
      <c r="R1" s="46"/>
      <c r="S1" s="46"/>
      <c r="T1" s="46"/>
      <c r="U1" s="46"/>
    </row>
    <row r="2" spans="1:21">
      <c r="A2" s="10"/>
      <c r="B2" s="11"/>
      <c r="C2" s="11"/>
      <c r="D2" s="11"/>
      <c r="E2" s="11"/>
      <c r="F2" s="11"/>
      <c r="G2" s="11"/>
      <c r="H2" s="11"/>
      <c r="I2" s="11"/>
      <c r="J2" s="12"/>
      <c r="K2" s="46"/>
      <c r="L2" s="46"/>
      <c r="M2" s="46"/>
      <c r="N2" s="46"/>
      <c r="O2" s="46"/>
      <c r="P2" s="46"/>
      <c r="Q2" s="46"/>
      <c r="R2" s="46"/>
      <c r="S2" s="46"/>
      <c r="T2" s="46"/>
      <c r="U2" s="46"/>
    </row>
    <row r="3" spans="1:21">
      <c r="A3" s="10"/>
      <c r="B3" s="11"/>
      <c r="C3" s="11"/>
      <c r="D3" s="11"/>
      <c r="E3" s="11"/>
      <c r="F3" s="11"/>
      <c r="G3" s="11"/>
      <c r="H3" s="11"/>
      <c r="I3" s="11"/>
      <c r="J3" s="12"/>
      <c r="K3" s="46"/>
      <c r="L3" s="46"/>
      <c r="M3" s="46"/>
      <c r="N3" s="46"/>
      <c r="O3" s="46"/>
      <c r="P3" s="46"/>
      <c r="Q3" s="46"/>
      <c r="R3" s="46"/>
      <c r="S3" s="46"/>
      <c r="T3" s="46"/>
      <c r="U3" s="46"/>
    </row>
    <row r="4" spans="1:21">
      <c r="A4" s="10"/>
      <c r="B4" s="13" t="s">
        <v>0</v>
      </c>
      <c r="C4" s="11"/>
      <c r="D4" s="11"/>
      <c r="E4" s="14" t="s">
        <v>5</v>
      </c>
      <c r="F4" s="15">
        <v>7</v>
      </c>
      <c r="G4" s="16">
        <v>43752</v>
      </c>
      <c r="I4" s="11"/>
      <c r="J4" s="12"/>
      <c r="K4" s="46"/>
      <c r="L4" s="46"/>
      <c r="M4" s="46"/>
      <c r="N4" s="46"/>
      <c r="O4" s="46"/>
      <c r="P4" s="46"/>
      <c r="Q4" s="46"/>
      <c r="R4" s="46"/>
      <c r="S4" s="46"/>
      <c r="T4" s="46"/>
      <c r="U4" s="46"/>
    </row>
    <row r="5" spans="1:21">
      <c r="A5" s="10"/>
      <c r="B5" s="13" t="s">
        <v>1</v>
      </c>
      <c r="C5" s="11"/>
      <c r="D5" s="11"/>
      <c r="E5" s="11"/>
      <c r="F5" s="11"/>
      <c r="G5" s="11"/>
      <c r="H5" s="11"/>
      <c r="I5" s="11"/>
      <c r="J5" s="12"/>
      <c r="K5" s="46"/>
      <c r="L5" s="46"/>
      <c r="M5" s="46"/>
      <c r="N5" s="46"/>
      <c r="O5" s="46"/>
      <c r="P5" s="46"/>
      <c r="Q5" s="46"/>
      <c r="R5" s="46"/>
      <c r="S5" s="46"/>
      <c r="T5" s="46"/>
      <c r="U5" s="46"/>
    </row>
    <row r="6" spans="1:21">
      <c r="A6" s="10"/>
      <c r="B6" s="729" t="s">
        <v>559</v>
      </c>
      <c r="C6" s="57" t="s">
        <v>896</v>
      </c>
      <c r="D6" s="11"/>
      <c r="E6" s="11"/>
      <c r="F6" s="11"/>
      <c r="G6" s="11"/>
      <c r="H6" s="11"/>
      <c r="I6" s="11"/>
      <c r="J6" s="12"/>
      <c r="K6" s="46"/>
      <c r="L6" s="46"/>
      <c r="M6" s="46"/>
      <c r="N6" s="46"/>
      <c r="O6" s="46"/>
      <c r="P6" s="46"/>
      <c r="Q6" s="46"/>
      <c r="R6" s="46"/>
      <c r="S6" s="46"/>
      <c r="T6" s="46"/>
      <c r="U6" s="46"/>
    </row>
    <row r="7" spans="1:21">
      <c r="A7" s="17"/>
      <c r="B7" s="18"/>
      <c r="C7" s="18"/>
      <c r="D7" s="18"/>
      <c r="E7" s="18"/>
      <c r="F7" s="18"/>
      <c r="G7" s="18"/>
      <c r="H7" s="18"/>
      <c r="I7" s="18"/>
      <c r="J7" s="19"/>
      <c r="K7" s="46"/>
      <c r="L7" s="46"/>
      <c r="M7" s="46"/>
      <c r="N7" s="46"/>
      <c r="O7" s="46"/>
      <c r="P7" s="46"/>
      <c r="Q7" s="46"/>
      <c r="R7" s="46"/>
      <c r="S7" s="46"/>
      <c r="T7" s="46"/>
      <c r="U7" s="46"/>
    </row>
    <row r="8" spans="1:21" ht="20.149999999999999" customHeight="1">
      <c r="A8" s="7"/>
      <c r="B8" s="21" t="s">
        <v>55</v>
      </c>
      <c r="C8" s="21"/>
      <c r="D8" s="21"/>
      <c r="E8" s="21"/>
      <c r="F8" s="21"/>
      <c r="G8" s="8"/>
      <c r="H8" s="8"/>
      <c r="I8" s="8"/>
      <c r="J8" s="9"/>
      <c r="K8" s="46"/>
      <c r="L8" s="46"/>
      <c r="M8" s="46"/>
      <c r="N8" s="46"/>
      <c r="O8" s="46"/>
      <c r="P8" s="46"/>
      <c r="Q8" s="46"/>
      <c r="R8" s="46"/>
      <c r="S8" s="46"/>
      <c r="T8" s="46"/>
      <c r="U8" s="46"/>
    </row>
    <row r="9" spans="1:21" ht="20.149999999999999" customHeight="1">
      <c r="A9" s="17"/>
      <c r="B9" s="22" t="s">
        <v>56</v>
      </c>
      <c r="C9" s="22"/>
      <c r="D9" s="22"/>
      <c r="E9" s="22"/>
      <c r="F9" s="22"/>
      <c r="G9" s="18"/>
      <c r="H9" s="18"/>
      <c r="I9" s="18"/>
      <c r="J9" s="19"/>
      <c r="K9" s="46"/>
      <c r="L9" s="46"/>
      <c r="M9" s="46"/>
      <c r="N9" s="46"/>
      <c r="O9" s="46"/>
      <c r="P9" s="46"/>
      <c r="Q9" s="46"/>
      <c r="R9" s="46"/>
      <c r="S9" s="46"/>
      <c r="T9" s="46"/>
      <c r="U9" s="46"/>
    </row>
    <row r="10" spans="1:21">
      <c r="A10" s="28"/>
      <c r="B10" s="29"/>
      <c r="C10" s="29"/>
      <c r="D10" s="29"/>
      <c r="E10" s="29"/>
      <c r="F10" s="29"/>
      <c r="G10" s="29"/>
      <c r="H10" s="29"/>
      <c r="I10" s="29"/>
      <c r="J10" s="30"/>
      <c r="K10" s="46"/>
      <c r="L10" s="46"/>
      <c r="M10" s="46"/>
      <c r="N10" s="46"/>
      <c r="O10" s="46"/>
      <c r="P10" s="46"/>
      <c r="Q10" s="46"/>
      <c r="R10" s="46"/>
      <c r="S10" s="46"/>
      <c r="T10" s="46"/>
      <c r="U10" s="46"/>
    </row>
    <row r="11" spans="1:21">
      <c r="A11" s="31"/>
      <c r="B11" s="32" t="s">
        <v>707</v>
      </c>
      <c r="C11" s="32"/>
      <c r="D11" s="32"/>
      <c r="E11" s="32"/>
      <c r="F11" s="32"/>
      <c r="G11" s="32"/>
      <c r="H11" s="32"/>
      <c r="I11" s="32"/>
      <c r="J11" s="33"/>
      <c r="K11" s="46"/>
      <c r="L11" s="46"/>
      <c r="M11" s="46"/>
      <c r="N11" s="46"/>
      <c r="O11" s="46"/>
      <c r="P11" s="46"/>
      <c r="Q11" s="46"/>
      <c r="R11" s="46"/>
      <c r="S11" s="46"/>
      <c r="T11" s="46"/>
      <c r="U11" s="46"/>
    </row>
    <row r="12" spans="1:21">
      <c r="A12" s="34"/>
      <c r="B12" s="35"/>
      <c r="C12" s="35"/>
      <c r="D12" s="35"/>
      <c r="E12" s="35"/>
      <c r="F12" s="35"/>
      <c r="G12" s="35"/>
      <c r="H12" s="35"/>
      <c r="I12" s="35"/>
      <c r="J12" s="36"/>
      <c r="K12" s="46"/>
      <c r="L12" s="46"/>
      <c r="M12" s="46"/>
      <c r="N12" s="46"/>
      <c r="O12" s="46"/>
      <c r="P12" s="46"/>
      <c r="Q12" s="46"/>
      <c r="R12" s="46"/>
      <c r="S12" s="46"/>
      <c r="T12" s="46"/>
      <c r="U12" s="46"/>
    </row>
    <row r="13" spans="1:21">
      <c r="A13" s="112"/>
      <c r="B13" s="112"/>
      <c r="C13" s="112"/>
      <c r="D13" s="112"/>
      <c r="E13" s="112"/>
      <c r="F13" s="112"/>
      <c r="G13" s="112"/>
      <c r="H13" s="112"/>
      <c r="I13" s="112"/>
      <c r="J13" s="112"/>
      <c r="K13" s="46"/>
      <c r="L13" s="46"/>
      <c r="M13" s="46"/>
      <c r="N13" s="46"/>
      <c r="O13" s="46"/>
      <c r="P13" s="46"/>
      <c r="Q13" s="46"/>
      <c r="R13" s="46"/>
      <c r="S13" s="46"/>
      <c r="T13" s="46"/>
      <c r="U13" s="46"/>
    </row>
    <row r="14" spans="1:21">
      <c r="A14" s="46"/>
      <c r="B14" s="168" t="s">
        <v>708</v>
      </c>
      <c r="C14" s="46"/>
      <c r="D14" s="46"/>
      <c r="E14" s="46"/>
      <c r="F14" s="46"/>
      <c r="G14" s="46"/>
      <c r="H14" s="46"/>
      <c r="I14" s="46"/>
      <c r="J14" s="46"/>
      <c r="K14" s="46"/>
      <c r="L14" s="46"/>
      <c r="M14" s="46"/>
      <c r="N14" s="46"/>
      <c r="O14" s="46"/>
      <c r="P14" s="46"/>
      <c r="Q14" s="46"/>
      <c r="R14" s="46"/>
      <c r="S14" s="46"/>
      <c r="T14" s="46"/>
      <c r="U14" s="46"/>
    </row>
    <row r="15" spans="1:21">
      <c r="A15" s="46"/>
      <c r="B15" s="352" t="s">
        <v>696</v>
      </c>
      <c r="C15" s="378" t="s">
        <v>697</v>
      </c>
      <c r="D15" s="410"/>
      <c r="E15" s="410"/>
      <c r="F15" s="410"/>
      <c r="G15" s="410"/>
      <c r="H15" s="410"/>
      <c r="I15" s="415"/>
      <c r="J15" s="76"/>
      <c r="K15" s="46"/>
      <c r="L15" s="46"/>
      <c r="M15" s="46"/>
      <c r="N15" s="46"/>
      <c r="O15" s="46"/>
      <c r="P15" s="46"/>
      <c r="Q15" s="46"/>
      <c r="R15" s="46"/>
      <c r="S15" s="46"/>
      <c r="T15" s="46"/>
      <c r="U15" s="46"/>
    </row>
    <row r="16" spans="1:21" ht="17.5" customHeight="1">
      <c r="A16" s="46"/>
      <c r="B16" s="372" t="s">
        <v>698</v>
      </c>
      <c r="C16" s="417" t="s">
        <v>699</v>
      </c>
      <c r="D16" s="420"/>
      <c r="E16" s="420"/>
      <c r="F16" s="420"/>
      <c r="G16" s="420"/>
      <c r="H16" s="420"/>
      <c r="I16" s="421"/>
      <c r="J16" s="371"/>
      <c r="K16" s="46"/>
      <c r="L16" s="46"/>
      <c r="M16" s="46"/>
      <c r="N16" s="46"/>
      <c r="O16" s="46"/>
      <c r="P16" s="46"/>
      <c r="Q16" s="46"/>
      <c r="R16" s="46"/>
      <c r="S16" s="46"/>
      <c r="T16" s="46"/>
      <c r="U16" s="46"/>
    </row>
    <row r="17" spans="1:21" ht="34.5" customHeight="1">
      <c r="A17" s="46"/>
      <c r="B17" s="372" t="s">
        <v>700</v>
      </c>
      <c r="C17" s="422" t="s">
        <v>741</v>
      </c>
      <c r="D17" s="420"/>
      <c r="E17" s="420"/>
      <c r="F17" s="420"/>
      <c r="G17" s="420"/>
      <c r="H17" s="420"/>
      <c r="I17" s="421"/>
      <c r="J17" s="76"/>
      <c r="K17" s="46"/>
      <c r="L17" s="46"/>
      <c r="M17" s="46"/>
      <c r="N17" s="46"/>
      <c r="O17" s="46"/>
      <c r="P17" s="46"/>
      <c r="Q17" s="46"/>
      <c r="R17" s="46"/>
      <c r="S17" s="46"/>
      <c r="T17" s="46"/>
      <c r="U17" s="46"/>
    </row>
    <row r="18" spans="1:21">
      <c r="A18" s="46"/>
      <c r="B18" s="372" t="s">
        <v>870</v>
      </c>
      <c r="C18" s="417" t="s">
        <v>701</v>
      </c>
      <c r="D18" s="420"/>
      <c r="E18" s="420"/>
      <c r="F18" s="420"/>
      <c r="G18" s="420"/>
      <c r="H18" s="420"/>
      <c r="I18" s="421"/>
      <c r="J18" s="76"/>
      <c r="K18" s="46"/>
      <c r="L18" s="46"/>
      <c r="M18" s="46"/>
      <c r="N18" s="46"/>
      <c r="O18" s="46"/>
      <c r="P18" s="46"/>
      <c r="Q18" s="46"/>
      <c r="R18" s="46"/>
      <c r="S18" s="46"/>
      <c r="T18" s="46"/>
      <c r="U18" s="46"/>
    </row>
    <row r="19" spans="1:21" ht="18.5" customHeight="1">
      <c r="A19" s="46"/>
      <c r="B19" s="372" t="s">
        <v>702</v>
      </c>
      <c r="C19" s="425" t="s">
        <v>863</v>
      </c>
      <c r="D19" s="418"/>
      <c r="E19" s="418"/>
      <c r="F19" s="418"/>
      <c r="G19" s="418"/>
      <c r="H19" s="418"/>
      <c r="I19" s="419"/>
      <c r="J19" s="371"/>
      <c r="K19" s="46"/>
      <c r="L19" s="46"/>
      <c r="M19" s="46"/>
      <c r="N19" s="46"/>
      <c r="O19" s="46"/>
      <c r="P19" s="46"/>
      <c r="Q19" s="46"/>
      <c r="R19" s="46"/>
      <c r="S19" s="46"/>
      <c r="T19" s="46"/>
      <c r="U19" s="46"/>
    </row>
    <row r="20" spans="1:21" ht="75" customHeight="1">
      <c r="A20" s="46"/>
      <c r="B20" s="372" t="s">
        <v>703</v>
      </c>
      <c r="C20" s="423" t="s">
        <v>738</v>
      </c>
      <c r="D20" s="424"/>
      <c r="E20" s="424"/>
      <c r="F20" s="424"/>
      <c r="G20" s="424"/>
      <c r="H20" s="424"/>
      <c r="I20" s="426"/>
      <c r="J20" s="76"/>
      <c r="K20" s="46"/>
      <c r="L20" s="46"/>
      <c r="M20" s="46"/>
      <c r="N20" s="46"/>
      <c r="O20" s="46"/>
      <c r="P20" s="46"/>
      <c r="Q20" s="46"/>
      <c r="R20" s="46"/>
      <c r="S20" s="46"/>
      <c r="T20" s="46"/>
      <c r="U20" s="46"/>
    </row>
    <row r="21" spans="1:21" ht="36" customHeight="1">
      <c r="A21" s="46"/>
      <c r="B21" s="372" t="s">
        <v>704</v>
      </c>
      <c r="C21" s="422" t="s">
        <v>881</v>
      </c>
      <c r="D21" s="420"/>
      <c r="E21" s="420"/>
      <c r="F21" s="420"/>
      <c r="G21" s="420"/>
      <c r="H21" s="420"/>
      <c r="I21" s="421"/>
      <c r="J21" s="76"/>
      <c r="K21" s="46"/>
      <c r="L21" s="46"/>
      <c r="M21" s="46"/>
      <c r="N21" s="46"/>
      <c r="O21" s="46"/>
      <c r="P21" s="46"/>
      <c r="Q21" s="46"/>
      <c r="R21" s="46"/>
      <c r="S21" s="46"/>
      <c r="T21" s="46"/>
      <c r="U21" s="46"/>
    </row>
    <row r="22" spans="1:21">
      <c r="A22" s="46"/>
      <c r="B22" s="372" t="s">
        <v>871</v>
      </c>
      <c r="C22" s="417" t="s">
        <v>740</v>
      </c>
      <c r="D22" s="420"/>
      <c r="E22" s="420"/>
      <c r="F22" s="420"/>
      <c r="G22" s="420"/>
      <c r="H22" s="420"/>
      <c r="I22" s="421"/>
      <c r="J22" s="76"/>
      <c r="K22" s="46"/>
      <c r="L22" s="46"/>
      <c r="M22" s="46"/>
      <c r="N22" s="46"/>
      <c r="O22" s="46"/>
      <c r="P22" s="46"/>
      <c r="Q22" s="46"/>
      <c r="R22" s="46"/>
      <c r="S22" s="46"/>
      <c r="T22" s="46"/>
      <c r="U22" s="46"/>
    </row>
    <row r="23" spans="1:21">
      <c r="A23" s="46"/>
      <c r="B23" s="372" t="s">
        <v>872</v>
      </c>
      <c r="C23" s="417" t="s">
        <v>902</v>
      </c>
      <c r="D23" s="420"/>
      <c r="E23" s="420"/>
      <c r="F23" s="420"/>
      <c r="G23" s="420"/>
      <c r="H23" s="420"/>
      <c r="I23" s="419"/>
      <c r="J23" s="76"/>
      <c r="K23" s="46"/>
      <c r="L23" s="46"/>
      <c r="M23" s="46"/>
      <c r="N23" s="46"/>
      <c r="O23" s="46"/>
      <c r="P23" s="46"/>
      <c r="Q23" s="46"/>
      <c r="R23" s="46"/>
      <c r="S23" s="46"/>
      <c r="T23" s="46"/>
      <c r="U23" s="46"/>
    </row>
    <row r="24" spans="1:21">
      <c r="A24" s="46"/>
      <c r="B24" s="372" t="s">
        <v>873</v>
      </c>
      <c r="C24" s="425" t="s">
        <v>903</v>
      </c>
      <c r="D24" s="418"/>
      <c r="E24" s="418"/>
      <c r="F24" s="418"/>
      <c r="G24" s="418"/>
      <c r="H24" s="418"/>
      <c r="I24" s="668"/>
      <c r="J24" s="76"/>
      <c r="K24" s="46"/>
      <c r="L24" s="46"/>
      <c r="M24" s="46"/>
      <c r="N24" s="46"/>
      <c r="O24" s="46"/>
      <c r="P24" s="46"/>
      <c r="Q24" s="46"/>
      <c r="R24" s="46"/>
      <c r="S24" s="46"/>
      <c r="T24" s="46"/>
      <c r="U24" s="46"/>
    </row>
    <row r="25" spans="1:21">
      <c r="A25" s="46"/>
      <c r="B25" s="372" t="s">
        <v>874</v>
      </c>
      <c r="C25" s="417" t="s">
        <v>882</v>
      </c>
      <c r="D25" s="371"/>
      <c r="E25" s="371"/>
      <c r="F25" s="371"/>
      <c r="G25" s="371"/>
      <c r="H25" s="371"/>
      <c r="I25" s="421"/>
      <c r="J25" s="76"/>
      <c r="K25" s="46"/>
      <c r="L25" s="46"/>
      <c r="M25" s="46"/>
      <c r="N25" s="46"/>
      <c r="O25" s="46"/>
      <c r="P25" s="46"/>
      <c r="Q25" s="46"/>
      <c r="R25" s="46"/>
      <c r="S25" s="46"/>
      <c r="T25" s="46"/>
      <c r="U25" s="46"/>
    </row>
    <row r="26" spans="1:21" ht="31" customHeight="1">
      <c r="A26" s="46"/>
      <c r="B26" s="372" t="s">
        <v>875</v>
      </c>
      <c r="C26" s="417" t="s">
        <v>864</v>
      </c>
      <c r="D26" s="420"/>
      <c r="E26" s="420"/>
      <c r="F26" s="420"/>
      <c r="G26" s="420"/>
      <c r="H26" s="420"/>
      <c r="I26" s="421"/>
      <c r="J26" s="76"/>
      <c r="K26" s="46"/>
      <c r="L26" s="46"/>
      <c r="M26" s="46"/>
      <c r="N26" s="46"/>
      <c r="O26" s="46"/>
      <c r="P26" s="46"/>
      <c r="Q26" s="46"/>
      <c r="R26" s="46"/>
      <c r="S26" s="46"/>
      <c r="T26" s="46"/>
      <c r="U26" s="46"/>
    </row>
    <row r="27" spans="1:21" ht="14.5" customHeight="1">
      <c r="A27" s="46"/>
      <c r="B27" s="372" t="s">
        <v>876</v>
      </c>
      <c r="C27" s="500" t="s">
        <v>865</v>
      </c>
      <c r="D27" s="418"/>
      <c r="E27" s="418"/>
      <c r="F27" s="418"/>
      <c r="G27" s="418"/>
      <c r="H27" s="418"/>
      <c r="I27" s="419"/>
      <c r="J27" s="76"/>
      <c r="K27" s="46"/>
      <c r="L27" s="46"/>
      <c r="M27" s="46"/>
      <c r="N27" s="46"/>
      <c r="O27" s="46"/>
      <c r="P27" s="46"/>
      <c r="Q27" s="46"/>
      <c r="R27" s="46"/>
      <c r="S27" s="46"/>
      <c r="T27" s="46"/>
      <c r="U27" s="46"/>
    </row>
    <row r="28" spans="1:21" ht="14.5" customHeight="1">
      <c r="A28" s="46"/>
      <c r="B28" s="372" t="s">
        <v>877</v>
      </c>
      <c r="C28" s="500" t="s">
        <v>739</v>
      </c>
      <c r="D28" s="418"/>
      <c r="E28" s="418"/>
      <c r="F28" s="418"/>
      <c r="G28" s="418"/>
      <c r="H28" s="418"/>
      <c r="I28" s="419"/>
      <c r="J28" s="76"/>
      <c r="K28" s="46"/>
      <c r="L28" s="46"/>
      <c r="M28" s="46"/>
      <c r="N28" s="46"/>
      <c r="O28" s="46"/>
      <c r="P28" s="46"/>
      <c r="Q28" s="46"/>
      <c r="R28" s="46"/>
      <c r="S28" s="46"/>
      <c r="T28" s="46"/>
      <c r="U28" s="46"/>
    </row>
    <row r="29" spans="1:21" ht="14.5" customHeight="1">
      <c r="A29" s="46"/>
      <c r="B29" s="372" t="s">
        <v>878</v>
      </c>
      <c r="C29" s="500" t="s">
        <v>866</v>
      </c>
      <c r="D29" s="420"/>
      <c r="E29" s="420"/>
      <c r="F29" s="420"/>
      <c r="G29" s="420"/>
      <c r="H29" s="420"/>
      <c r="I29" s="421"/>
      <c r="J29" s="76"/>
      <c r="K29" s="46"/>
      <c r="L29" s="46"/>
      <c r="M29" s="46"/>
      <c r="N29" s="46"/>
      <c r="O29" s="46"/>
      <c r="P29" s="46"/>
      <c r="Q29" s="46"/>
      <c r="R29" s="46"/>
      <c r="S29" s="46"/>
      <c r="T29" s="46"/>
      <c r="U29" s="46"/>
    </row>
    <row r="30" spans="1:21" ht="14.5" customHeight="1">
      <c r="A30" s="46"/>
      <c r="B30" s="372" t="s">
        <v>879</v>
      </c>
      <c r="C30" s="500" t="s">
        <v>867</v>
      </c>
      <c r="D30" s="420"/>
      <c r="E30" s="420"/>
      <c r="F30" s="420"/>
      <c r="G30" s="420"/>
      <c r="H30" s="420"/>
      <c r="I30" s="421"/>
      <c r="J30" s="76"/>
      <c r="K30" s="46"/>
      <c r="L30" s="46"/>
      <c r="M30" s="46"/>
      <c r="N30" s="46"/>
      <c r="O30" s="46"/>
      <c r="P30" s="46"/>
      <c r="Q30" s="46"/>
      <c r="R30" s="46"/>
      <c r="S30" s="46"/>
      <c r="T30" s="46"/>
      <c r="U30" s="46"/>
    </row>
    <row r="31" spans="1:21" ht="33" customHeight="1">
      <c r="A31" s="46"/>
      <c r="B31" s="372" t="s">
        <v>880</v>
      </c>
      <c r="C31" s="417" t="s">
        <v>868</v>
      </c>
      <c r="D31" s="420"/>
      <c r="E31" s="420"/>
      <c r="F31" s="420"/>
      <c r="G31" s="420"/>
      <c r="H31" s="420"/>
      <c r="I31" s="421"/>
      <c r="J31" s="76"/>
      <c r="K31" s="46"/>
      <c r="L31" s="46"/>
      <c r="M31" s="46"/>
      <c r="N31" s="46"/>
      <c r="O31" s="46"/>
      <c r="P31" s="46"/>
      <c r="Q31" s="46"/>
      <c r="R31" s="46"/>
      <c r="S31" s="46"/>
      <c r="T31" s="46"/>
      <c r="U31" s="46"/>
    </row>
    <row r="32" spans="1:21">
      <c r="A32" s="46"/>
      <c r="B32" s="372" t="s">
        <v>705</v>
      </c>
      <c r="C32" s="500" t="s">
        <v>869</v>
      </c>
      <c r="D32" s="418"/>
      <c r="E32" s="418"/>
      <c r="F32" s="418"/>
      <c r="G32" s="418"/>
      <c r="H32" s="418"/>
      <c r="I32" s="419"/>
      <c r="J32" s="76"/>
      <c r="K32" s="46"/>
      <c r="L32" s="46"/>
      <c r="M32" s="46"/>
      <c r="N32" s="46"/>
      <c r="O32" s="46"/>
      <c r="P32" s="46"/>
      <c r="Q32" s="46"/>
      <c r="R32" s="46"/>
      <c r="S32" s="46"/>
      <c r="T32" s="46"/>
      <c r="U32" s="46"/>
    </row>
    <row r="33" spans="1:21" ht="20" customHeight="1">
      <c r="A33" s="46"/>
      <c r="B33" s="372" t="s">
        <v>706</v>
      </c>
      <c r="C33" s="417" t="s">
        <v>742</v>
      </c>
      <c r="D33" s="418"/>
      <c r="E33" s="418"/>
      <c r="F33" s="418"/>
      <c r="G33" s="418"/>
      <c r="H33" s="418"/>
      <c r="I33" s="419"/>
      <c r="J33" s="76"/>
      <c r="K33" s="46"/>
      <c r="L33" s="46"/>
      <c r="M33" s="46"/>
      <c r="N33" s="46"/>
      <c r="O33" s="46"/>
      <c r="P33" s="46"/>
      <c r="Q33" s="46"/>
      <c r="R33" s="46"/>
      <c r="S33" s="46"/>
      <c r="T33" s="46"/>
      <c r="U33" s="46"/>
    </row>
    <row r="34" spans="1:21">
      <c r="A34" s="46"/>
      <c r="B34" s="46"/>
      <c r="C34" s="46"/>
      <c r="D34" s="46"/>
      <c r="E34" s="46"/>
      <c r="F34" s="46"/>
      <c r="G34" s="46"/>
      <c r="H34" s="46"/>
      <c r="I34" s="46"/>
      <c r="J34" s="46"/>
      <c r="K34" s="46"/>
      <c r="L34" s="46"/>
      <c r="M34" s="46"/>
      <c r="N34" s="46"/>
      <c r="O34" s="46"/>
      <c r="P34" s="46"/>
      <c r="Q34" s="46"/>
      <c r="R34" s="46"/>
      <c r="S34" s="46"/>
      <c r="T34" s="46"/>
      <c r="U34" s="46"/>
    </row>
    <row r="35" spans="1:21">
      <c r="A35" s="46"/>
      <c r="B35" s="168" t="s">
        <v>709</v>
      </c>
      <c r="C35" s="46"/>
      <c r="D35" s="46"/>
      <c r="E35" s="46"/>
      <c r="F35" s="46"/>
      <c r="G35" s="46"/>
      <c r="H35" s="46"/>
      <c r="I35" s="46"/>
      <c r="J35" s="46"/>
      <c r="K35" s="46"/>
      <c r="L35" s="46"/>
      <c r="M35" s="46"/>
      <c r="N35" s="46"/>
      <c r="O35" s="46"/>
      <c r="P35" s="46"/>
      <c r="Q35" s="46"/>
      <c r="R35" s="46"/>
      <c r="S35" s="46"/>
      <c r="T35" s="46"/>
      <c r="U35" s="46"/>
    </row>
    <row r="36" spans="1:21">
      <c r="A36" s="46"/>
      <c r="B36" s="46"/>
      <c r="C36" s="46"/>
      <c r="D36" s="46"/>
      <c r="E36" s="46"/>
      <c r="F36" s="46"/>
      <c r="G36" s="46"/>
      <c r="H36" s="46"/>
      <c r="I36" s="46"/>
      <c r="J36" s="46"/>
      <c r="K36" s="46"/>
      <c r="L36" s="46"/>
      <c r="M36" s="46"/>
      <c r="N36" s="46"/>
      <c r="O36" s="46"/>
      <c r="P36" s="46"/>
      <c r="Q36" s="46"/>
      <c r="R36" s="46"/>
      <c r="S36" s="46"/>
      <c r="T36" s="46"/>
      <c r="U36" s="46"/>
    </row>
    <row r="37" spans="1:21">
      <c r="A37" s="46"/>
      <c r="B37" s="46"/>
      <c r="C37" s="46"/>
      <c r="D37" s="46"/>
      <c r="E37" s="46"/>
      <c r="F37" s="46"/>
      <c r="G37" s="46"/>
      <c r="H37" s="46"/>
      <c r="I37" s="46"/>
      <c r="J37" s="46"/>
      <c r="K37" s="46"/>
      <c r="L37" s="46"/>
      <c r="M37" s="46"/>
      <c r="N37" s="46"/>
      <c r="O37" s="46"/>
      <c r="P37" s="46"/>
      <c r="Q37" s="46"/>
      <c r="R37" s="46"/>
      <c r="S37" s="46"/>
      <c r="T37" s="46"/>
      <c r="U37" s="46"/>
    </row>
    <row r="38" spans="1:21">
      <c r="A38" s="46"/>
      <c r="B38" s="46"/>
      <c r="C38" s="46"/>
      <c r="D38" s="46"/>
      <c r="E38" s="46"/>
      <c r="F38" s="46"/>
      <c r="G38" s="46"/>
      <c r="H38" s="46"/>
      <c r="I38" s="46"/>
      <c r="J38" s="46"/>
      <c r="K38" s="46"/>
      <c r="L38" s="46"/>
      <c r="M38" s="46"/>
      <c r="N38" s="46"/>
      <c r="O38" s="46"/>
      <c r="P38" s="46"/>
      <c r="Q38" s="46"/>
      <c r="R38" s="46"/>
      <c r="S38" s="46"/>
      <c r="T38" s="46"/>
      <c r="U38" s="46"/>
    </row>
    <row r="39" spans="1:21">
      <c r="A39" s="46"/>
      <c r="B39" s="46"/>
      <c r="C39" s="46"/>
      <c r="D39" s="46"/>
      <c r="E39" s="46"/>
      <c r="F39" s="46"/>
      <c r="G39" s="46"/>
      <c r="H39" s="46"/>
      <c r="I39" s="46"/>
      <c r="J39" s="46"/>
      <c r="K39" s="46"/>
      <c r="L39" s="46"/>
      <c r="M39" s="46"/>
      <c r="N39" s="46"/>
      <c r="O39" s="46"/>
      <c r="P39" s="46"/>
      <c r="Q39" s="46"/>
      <c r="R39" s="46"/>
      <c r="S39" s="46"/>
      <c r="T39" s="46"/>
      <c r="U39" s="46"/>
    </row>
    <row r="40" spans="1:21">
      <c r="A40" s="46"/>
      <c r="B40" s="46"/>
      <c r="C40" s="46"/>
      <c r="D40" s="46"/>
      <c r="E40" s="46"/>
      <c r="F40" s="46"/>
      <c r="G40" s="46"/>
      <c r="H40" s="46"/>
      <c r="I40" s="46"/>
      <c r="J40" s="46"/>
      <c r="K40" s="46"/>
      <c r="L40" s="46"/>
      <c r="M40" s="46"/>
      <c r="N40" s="46"/>
      <c r="O40" s="46"/>
      <c r="P40" s="46"/>
      <c r="Q40" s="46"/>
      <c r="R40" s="46"/>
      <c r="S40" s="46"/>
      <c r="T40" s="46"/>
      <c r="U40" s="46"/>
    </row>
    <row r="41" spans="1:21">
      <c r="A41" s="46"/>
      <c r="B41" s="46"/>
      <c r="C41" s="46"/>
      <c r="D41" s="46"/>
      <c r="E41" s="46"/>
      <c r="F41" s="46"/>
      <c r="G41" s="46"/>
      <c r="H41" s="46"/>
      <c r="I41" s="46"/>
      <c r="J41" s="46"/>
      <c r="K41" s="46"/>
      <c r="L41" s="46"/>
      <c r="M41" s="46"/>
      <c r="N41" s="46"/>
      <c r="O41" s="46"/>
      <c r="P41" s="46"/>
      <c r="Q41" s="46"/>
      <c r="R41" s="46"/>
      <c r="S41" s="46"/>
      <c r="T41" s="46"/>
      <c r="U41" s="46"/>
    </row>
    <row r="42" spans="1:21">
      <c r="A42" s="46"/>
      <c r="B42" s="46"/>
      <c r="C42" s="46"/>
      <c r="D42" s="46"/>
      <c r="E42" s="46"/>
      <c r="F42" s="46"/>
      <c r="G42" s="46"/>
      <c r="H42" s="46"/>
      <c r="I42" s="46"/>
      <c r="J42" s="46"/>
      <c r="K42" s="46"/>
      <c r="L42" s="46"/>
      <c r="M42" s="46"/>
      <c r="N42" s="46"/>
      <c r="O42" s="46"/>
      <c r="P42" s="46"/>
      <c r="Q42" s="46"/>
      <c r="R42" s="46"/>
      <c r="S42" s="46"/>
      <c r="T42" s="46"/>
      <c r="U42" s="46"/>
    </row>
    <row r="43" spans="1:21">
      <c r="A43" s="46"/>
      <c r="B43" s="46"/>
      <c r="C43" s="46"/>
      <c r="D43" s="46"/>
      <c r="E43" s="46"/>
      <c r="F43" s="46"/>
      <c r="G43" s="46"/>
      <c r="H43" s="46"/>
      <c r="I43" s="46"/>
      <c r="J43" s="46"/>
      <c r="K43" s="46"/>
      <c r="L43" s="46"/>
      <c r="M43" s="46"/>
      <c r="N43" s="46"/>
      <c r="O43" s="46"/>
      <c r="P43" s="46"/>
      <c r="Q43" s="46"/>
      <c r="R43" s="46"/>
      <c r="S43" s="46"/>
      <c r="T43" s="46"/>
      <c r="U43" s="46"/>
    </row>
    <row r="44" spans="1:21">
      <c r="A44" s="46"/>
      <c r="B44" s="46"/>
      <c r="C44" s="46"/>
      <c r="D44" s="46"/>
      <c r="E44" s="46"/>
      <c r="F44" s="46"/>
      <c r="G44" s="46"/>
      <c r="H44" s="46"/>
      <c r="I44" s="46"/>
      <c r="J44" s="46"/>
      <c r="K44" s="46"/>
      <c r="L44" s="46"/>
      <c r="M44" s="46"/>
      <c r="N44" s="46"/>
      <c r="O44" s="46"/>
      <c r="P44" s="46"/>
      <c r="Q44" s="46"/>
      <c r="R44" s="46"/>
      <c r="S44" s="46"/>
      <c r="T44" s="46"/>
      <c r="U44" s="46"/>
    </row>
    <row r="45" spans="1:21">
      <c r="A45" s="46"/>
      <c r="B45" s="46"/>
      <c r="C45" s="46"/>
      <c r="D45" s="46"/>
      <c r="E45" s="46"/>
      <c r="F45" s="46"/>
      <c r="G45" s="46"/>
      <c r="H45" s="46"/>
      <c r="I45" s="46"/>
      <c r="J45" s="46"/>
      <c r="K45" s="46"/>
      <c r="L45" s="46"/>
      <c r="M45" s="46"/>
      <c r="N45" s="46"/>
      <c r="O45" s="46"/>
      <c r="P45" s="46"/>
      <c r="Q45" s="46"/>
      <c r="R45" s="46"/>
      <c r="S45" s="46"/>
      <c r="T45" s="46"/>
      <c r="U45" s="46"/>
    </row>
    <row r="46" spans="1:21">
      <c r="A46" s="46"/>
      <c r="B46" s="46"/>
      <c r="C46" s="46"/>
      <c r="D46" s="46"/>
      <c r="E46" s="46"/>
      <c r="F46" s="46"/>
      <c r="G46" s="46"/>
      <c r="H46" s="46"/>
      <c r="I46" s="46"/>
      <c r="J46" s="46"/>
      <c r="K46" s="46"/>
      <c r="L46" s="46"/>
      <c r="M46" s="46"/>
      <c r="N46" s="46"/>
      <c r="O46" s="46"/>
      <c r="P46" s="46"/>
      <c r="Q46" s="46"/>
      <c r="R46" s="46"/>
      <c r="S46" s="46"/>
      <c r="T46" s="46"/>
      <c r="U46" s="46"/>
    </row>
    <row r="47" spans="1:21">
      <c r="A47" s="46"/>
      <c r="B47" s="46"/>
      <c r="C47" s="46"/>
      <c r="D47" s="46"/>
      <c r="E47" s="46"/>
      <c r="F47" s="46"/>
      <c r="G47" s="46"/>
      <c r="H47" s="46"/>
      <c r="I47" s="46"/>
      <c r="J47" s="46"/>
      <c r="K47" s="46"/>
      <c r="L47" s="46"/>
      <c r="M47" s="46"/>
      <c r="N47" s="46"/>
      <c r="O47" s="46"/>
      <c r="P47" s="46"/>
      <c r="Q47" s="46"/>
      <c r="R47" s="46"/>
      <c r="S47" s="46"/>
      <c r="T47" s="46"/>
      <c r="U47" s="46"/>
    </row>
    <row r="48" spans="1:21">
      <c r="A48" s="46"/>
      <c r="B48" s="46"/>
      <c r="C48" s="46"/>
      <c r="D48" s="46"/>
      <c r="E48" s="46"/>
      <c r="F48" s="46"/>
      <c r="G48" s="46"/>
      <c r="H48" s="46"/>
      <c r="I48" s="46"/>
      <c r="J48" s="46"/>
      <c r="K48" s="46"/>
      <c r="L48" s="46"/>
      <c r="M48" s="46"/>
      <c r="N48" s="46"/>
      <c r="O48" s="46"/>
      <c r="P48" s="46"/>
      <c r="Q48" s="46"/>
      <c r="R48" s="46"/>
      <c r="S48" s="46"/>
      <c r="T48" s="46"/>
      <c r="U48" s="46"/>
    </row>
    <row r="49" spans="1:21">
      <c r="A49" s="46"/>
      <c r="B49" s="46"/>
      <c r="C49" s="46"/>
      <c r="D49" s="46"/>
      <c r="E49" s="46"/>
      <c r="F49" s="46"/>
      <c r="G49" s="46"/>
      <c r="H49" s="46"/>
      <c r="I49" s="46"/>
      <c r="J49" s="46"/>
      <c r="K49" s="46"/>
      <c r="L49" s="46"/>
      <c r="M49" s="46"/>
      <c r="N49" s="46"/>
      <c r="O49" s="46"/>
      <c r="P49" s="46"/>
      <c r="Q49" s="46"/>
      <c r="R49" s="46"/>
      <c r="S49" s="46"/>
      <c r="T49" s="46"/>
      <c r="U49" s="46"/>
    </row>
    <row r="50" spans="1:21">
      <c r="A50" s="46"/>
      <c r="B50" s="46"/>
      <c r="C50" s="46"/>
      <c r="D50" s="46"/>
      <c r="E50" s="46"/>
      <c r="F50" s="46"/>
      <c r="G50" s="46"/>
      <c r="H50" s="46"/>
      <c r="I50" s="46"/>
      <c r="J50" s="46"/>
      <c r="K50" s="46"/>
      <c r="L50" s="46"/>
      <c r="M50" s="46"/>
      <c r="N50" s="46"/>
      <c r="O50" s="46"/>
      <c r="P50" s="46"/>
      <c r="Q50" s="46"/>
      <c r="R50" s="46"/>
      <c r="S50" s="46"/>
      <c r="T50" s="46"/>
      <c r="U50" s="46"/>
    </row>
    <row r="51" spans="1:21">
      <c r="A51" s="46"/>
      <c r="B51" s="46"/>
      <c r="C51" s="46"/>
      <c r="D51" s="46"/>
      <c r="E51" s="46"/>
      <c r="F51" s="46"/>
      <c r="G51" s="46"/>
      <c r="H51" s="46"/>
      <c r="I51" s="46"/>
      <c r="J51" s="46"/>
      <c r="K51" s="46"/>
      <c r="L51" s="46"/>
      <c r="M51" s="46"/>
      <c r="N51" s="46"/>
      <c r="O51" s="46"/>
      <c r="P51" s="46"/>
      <c r="Q51" s="46"/>
      <c r="R51" s="46"/>
      <c r="S51" s="46"/>
      <c r="T51" s="46"/>
      <c r="U51" s="46"/>
    </row>
    <row r="52" spans="1:21">
      <c r="A52" s="46"/>
      <c r="B52" s="46"/>
      <c r="C52" s="46"/>
      <c r="D52" s="46"/>
      <c r="E52" s="46"/>
      <c r="F52" s="46"/>
      <c r="G52" s="46"/>
      <c r="H52" s="46"/>
      <c r="I52" s="46"/>
      <c r="J52" s="46"/>
      <c r="K52" s="46"/>
      <c r="L52" s="46"/>
      <c r="M52" s="46"/>
      <c r="N52" s="46"/>
      <c r="O52" s="46"/>
      <c r="P52" s="46"/>
      <c r="Q52" s="46"/>
      <c r="R52" s="46"/>
      <c r="S52" s="46"/>
      <c r="T52" s="46"/>
      <c r="U52" s="46"/>
    </row>
    <row r="53" spans="1:21">
      <c r="A53" s="46"/>
      <c r="B53" s="46"/>
      <c r="C53" s="46"/>
      <c r="D53" s="46"/>
      <c r="E53" s="46"/>
      <c r="F53" s="46"/>
      <c r="G53" s="46"/>
      <c r="H53" s="46"/>
      <c r="I53" s="46"/>
      <c r="J53" s="46"/>
      <c r="K53" s="46"/>
      <c r="L53" s="46"/>
      <c r="M53" s="46"/>
      <c r="N53" s="46"/>
      <c r="O53" s="46"/>
      <c r="P53" s="46"/>
      <c r="Q53" s="46"/>
      <c r="R53" s="46"/>
      <c r="S53" s="46"/>
      <c r="T53" s="46"/>
      <c r="U53" s="46"/>
    </row>
    <row r="54" spans="1:21">
      <c r="A54" s="46"/>
      <c r="B54" s="46"/>
      <c r="C54" s="46"/>
      <c r="D54" s="46"/>
      <c r="E54" s="46"/>
      <c r="F54" s="46"/>
      <c r="G54" s="46"/>
      <c r="H54" s="46"/>
      <c r="I54" s="46"/>
      <c r="J54" s="46"/>
      <c r="K54" s="46"/>
      <c r="L54" s="46"/>
      <c r="M54" s="46"/>
      <c r="N54" s="46"/>
      <c r="O54" s="46"/>
      <c r="P54" s="46"/>
      <c r="Q54" s="46"/>
      <c r="R54" s="46"/>
      <c r="S54" s="46"/>
      <c r="T54" s="46"/>
      <c r="U54" s="46"/>
    </row>
    <row r="55" spans="1:21">
      <c r="A55" s="46"/>
      <c r="B55" s="46"/>
      <c r="C55" s="46"/>
      <c r="D55" s="46"/>
      <c r="E55" s="46"/>
      <c r="F55" s="46"/>
      <c r="G55" s="46"/>
      <c r="H55" s="46"/>
      <c r="I55" s="46"/>
      <c r="J55" s="46"/>
      <c r="K55" s="46"/>
      <c r="L55" s="46"/>
      <c r="M55" s="46"/>
      <c r="N55" s="46"/>
      <c r="O55" s="46"/>
      <c r="P55" s="46"/>
      <c r="Q55" s="46"/>
      <c r="R55" s="46"/>
      <c r="S55" s="46"/>
      <c r="T55" s="46"/>
      <c r="U55" s="46"/>
    </row>
    <row r="56" spans="1:21">
      <c r="A56" s="46"/>
      <c r="B56" s="46"/>
      <c r="C56" s="46"/>
      <c r="D56" s="46"/>
      <c r="E56" s="46"/>
      <c r="F56" s="46"/>
      <c r="G56" s="46"/>
      <c r="H56" s="46"/>
      <c r="I56" s="46"/>
      <c r="J56" s="46"/>
      <c r="K56" s="46"/>
      <c r="L56" s="46"/>
      <c r="M56" s="46"/>
      <c r="N56" s="46"/>
      <c r="O56" s="46"/>
      <c r="P56" s="46"/>
      <c r="Q56" s="46"/>
      <c r="R56" s="46"/>
      <c r="S56" s="46"/>
      <c r="T56" s="46"/>
      <c r="U56" s="46"/>
    </row>
    <row r="57" spans="1:21">
      <c r="A57" s="46"/>
      <c r="B57" s="46"/>
      <c r="C57" s="46"/>
      <c r="D57" s="46"/>
      <c r="E57" s="46"/>
      <c r="F57" s="46"/>
      <c r="G57" s="46"/>
      <c r="H57" s="46"/>
      <c r="I57" s="46"/>
      <c r="J57" s="46"/>
      <c r="K57" s="46"/>
      <c r="L57" s="46"/>
      <c r="M57" s="46"/>
      <c r="N57" s="46"/>
      <c r="O57" s="46"/>
      <c r="P57" s="46"/>
      <c r="Q57" s="46"/>
      <c r="R57" s="46"/>
      <c r="S57" s="46"/>
      <c r="T57" s="46"/>
      <c r="U57" s="46"/>
    </row>
    <row r="58" spans="1:21">
      <c r="A58" s="46"/>
      <c r="B58" s="46"/>
      <c r="C58" s="46"/>
      <c r="D58" s="46"/>
      <c r="E58" s="46"/>
      <c r="F58" s="46"/>
      <c r="G58" s="46"/>
      <c r="H58" s="46"/>
      <c r="I58" s="46"/>
      <c r="J58" s="46"/>
      <c r="K58" s="46"/>
      <c r="L58" s="46"/>
      <c r="M58" s="46"/>
      <c r="N58" s="46"/>
      <c r="O58" s="46"/>
      <c r="P58" s="46"/>
      <c r="Q58" s="46"/>
      <c r="R58" s="46"/>
      <c r="S58" s="46"/>
      <c r="T58" s="46"/>
      <c r="U58" s="46"/>
    </row>
    <row r="59" spans="1:21">
      <c r="A59" s="46"/>
      <c r="B59" s="46"/>
      <c r="C59" s="46"/>
      <c r="D59" s="46"/>
      <c r="E59" s="46"/>
      <c r="F59" s="46"/>
      <c r="G59" s="46"/>
      <c r="H59" s="46"/>
      <c r="I59" s="46"/>
      <c r="J59" s="46"/>
      <c r="K59" s="46"/>
      <c r="L59" s="46"/>
      <c r="M59" s="46"/>
      <c r="N59" s="46"/>
      <c r="O59" s="46"/>
      <c r="P59" s="46"/>
      <c r="Q59" s="46"/>
      <c r="R59" s="46"/>
      <c r="S59" s="46"/>
      <c r="T59" s="46"/>
      <c r="U59" s="46"/>
    </row>
    <row r="60" spans="1:21">
      <c r="A60" s="46"/>
      <c r="B60" s="46"/>
      <c r="C60" s="46"/>
      <c r="D60" s="46"/>
      <c r="E60" s="46"/>
      <c r="F60" s="46"/>
      <c r="G60" s="46"/>
      <c r="H60" s="46"/>
      <c r="I60" s="46"/>
      <c r="J60" s="46"/>
      <c r="K60" s="46"/>
      <c r="L60" s="46"/>
      <c r="M60" s="46"/>
      <c r="N60" s="46"/>
      <c r="O60" s="46"/>
      <c r="P60" s="46"/>
      <c r="Q60" s="46"/>
      <c r="R60" s="46"/>
      <c r="S60" s="46"/>
      <c r="T60" s="46"/>
      <c r="U60" s="46"/>
    </row>
    <row r="61" spans="1:21">
      <c r="A61" s="46"/>
      <c r="B61" s="46"/>
      <c r="C61" s="46"/>
      <c r="D61" s="46"/>
      <c r="E61" s="46"/>
      <c r="F61" s="46"/>
      <c r="G61" s="46"/>
      <c r="H61" s="46"/>
      <c r="I61" s="46"/>
      <c r="J61" s="46"/>
      <c r="K61" s="46"/>
      <c r="L61" s="46"/>
      <c r="M61" s="46"/>
      <c r="N61" s="46"/>
      <c r="O61" s="46"/>
      <c r="P61" s="46"/>
      <c r="Q61" s="46"/>
      <c r="R61" s="46"/>
      <c r="S61" s="46"/>
      <c r="T61" s="46"/>
      <c r="U61" s="46"/>
    </row>
    <row r="62" spans="1:21">
      <c r="A62" s="46"/>
      <c r="B62" s="46"/>
      <c r="C62" s="46"/>
      <c r="D62" s="46"/>
      <c r="E62" s="46"/>
      <c r="F62" s="46"/>
      <c r="G62" s="46"/>
      <c r="H62" s="46"/>
      <c r="I62" s="46"/>
      <c r="J62" s="46"/>
      <c r="K62" s="46"/>
      <c r="L62" s="46"/>
      <c r="M62" s="46"/>
      <c r="N62" s="46"/>
      <c r="O62" s="46"/>
      <c r="P62" s="46"/>
      <c r="Q62" s="46"/>
      <c r="R62" s="46"/>
      <c r="S62" s="46"/>
      <c r="T62" s="46"/>
      <c r="U62" s="46"/>
    </row>
    <row r="63" spans="1:21">
      <c r="A63" s="46"/>
      <c r="B63" s="46"/>
      <c r="C63" s="46"/>
      <c r="D63" s="46"/>
      <c r="E63" s="46"/>
      <c r="F63" s="46"/>
      <c r="G63" s="46"/>
      <c r="H63" s="46"/>
      <c r="I63" s="46"/>
      <c r="J63" s="46"/>
      <c r="K63" s="46"/>
      <c r="L63" s="46"/>
      <c r="M63" s="46"/>
      <c r="N63" s="46"/>
      <c r="O63" s="46"/>
      <c r="P63" s="46"/>
      <c r="Q63" s="46"/>
      <c r="R63" s="46"/>
      <c r="S63" s="46"/>
      <c r="T63" s="46"/>
      <c r="U63" s="46"/>
    </row>
    <row r="64" spans="1:21">
      <c r="A64" s="46"/>
      <c r="B64" s="46"/>
      <c r="C64" s="46"/>
      <c r="D64" s="46"/>
      <c r="E64" s="46"/>
      <c r="F64" s="46"/>
      <c r="G64" s="46"/>
      <c r="H64" s="46"/>
      <c r="I64" s="46"/>
      <c r="J64" s="46"/>
      <c r="K64" s="46"/>
      <c r="L64" s="46"/>
      <c r="M64" s="46"/>
      <c r="N64" s="46"/>
      <c r="O64" s="46"/>
      <c r="P64" s="46"/>
      <c r="Q64" s="46"/>
      <c r="R64" s="46"/>
      <c r="S64" s="46"/>
      <c r="T64" s="46"/>
      <c r="U64" s="46"/>
    </row>
    <row r="65" spans="1:21">
      <c r="A65" s="46"/>
      <c r="B65" s="46"/>
      <c r="C65" s="46"/>
      <c r="D65" s="46"/>
      <c r="E65" s="46"/>
      <c r="F65" s="46"/>
      <c r="G65" s="46"/>
      <c r="H65" s="46"/>
      <c r="I65" s="46"/>
      <c r="J65" s="46"/>
      <c r="K65" s="46"/>
      <c r="L65" s="46"/>
      <c r="M65" s="46"/>
      <c r="N65" s="46"/>
      <c r="O65" s="46"/>
      <c r="P65" s="46"/>
      <c r="Q65" s="46"/>
      <c r="R65" s="46"/>
      <c r="S65" s="46"/>
      <c r="T65" s="46"/>
      <c r="U65" s="46"/>
    </row>
    <row r="66" spans="1:21">
      <c r="A66" s="46"/>
      <c r="B66" s="46"/>
      <c r="C66" s="46"/>
      <c r="D66" s="46"/>
      <c r="E66" s="46"/>
      <c r="F66" s="46"/>
      <c r="G66" s="46"/>
      <c r="H66" s="46"/>
      <c r="I66" s="46"/>
      <c r="J66" s="46"/>
      <c r="K66" s="46"/>
      <c r="L66" s="46"/>
      <c r="M66" s="46"/>
      <c r="N66" s="46"/>
      <c r="O66" s="46"/>
      <c r="P66" s="46"/>
      <c r="Q66" s="46"/>
      <c r="R66" s="46"/>
      <c r="S66" s="46"/>
      <c r="T66" s="46"/>
      <c r="U66" s="46"/>
    </row>
    <row r="67" spans="1:21">
      <c r="A67" s="46"/>
      <c r="B67" s="46"/>
      <c r="C67" s="46"/>
      <c r="D67" s="46"/>
      <c r="E67" s="46"/>
      <c r="F67" s="46"/>
      <c r="G67" s="46"/>
      <c r="H67" s="46"/>
      <c r="I67" s="46"/>
      <c r="J67" s="46"/>
      <c r="K67" s="46"/>
      <c r="L67" s="46"/>
      <c r="M67" s="46"/>
      <c r="N67" s="46"/>
      <c r="O67" s="46"/>
      <c r="P67" s="46"/>
      <c r="Q67" s="46"/>
      <c r="R67" s="46"/>
      <c r="S67" s="46"/>
      <c r="T67" s="46"/>
      <c r="U67" s="46"/>
    </row>
    <row r="68" spans="1:21">
      <c r="A68" s="46"/>
      <c r="B68" s="46"/>
      <c r="C68" s="46"/>
      <c r="D68" s="46"/>
      <c r="E68" s="46"/>
      <c r="F68" s="46"/>
      <c r="G68" s="46"/>
      <c r="H68" s="46"/>
      <c r="I68" s="46"/>
      <c r="J68" s="46"/>
      <c r="K68" s="46"/>
      <c r="L68" s="46"/>
      <c r="M68" s="46"/>
      <c r="N68" s="46"/>
      <c r="O68" s="46"/>
      <c r="P68" s="46"/>
      <c r="Q68" s="46"/>
      <c r="R68" s="46"/>
      <c r="S68" s="46"/>
      <c r="T68" s="46"/>
      <c r="U68" s="46"/>
    </row>
    <row r="69" spans="1:21">
      <c r="A69" s="46"/>
      <c r="B69" s="46"/>
      <c r="C69" s="46"/>
      <c r="D69" s="46"/>
      <c r="E69" s="46"/>
      <c r="F69" s="46"/>
      <c r="G69" s="46"/>
      <c r="H69" s="46"/>
      <c r="I69" s="46"/>
      <c r="J69" s="46"/>
      <c r="K69" s="46"/>
      <c r="L69" s="46"/>
      <c r="M69" s="46"/>
      <c r="N69" s="46"/>
      <c r="O69" s="46"/>
      <c r="P69" s="46"/>
      <c r="Q69" s="46"/>
      <c r="R69" s="46"/>
      <c r="S69" s="46"/>
      <c r="T69" s="46"/>
      <c r="U69" s="46"/>
    </row>
    <row r="70" spans="1:21">
      <c r="A70" s="46"/>
      <c r="B70" s="46"/>
      <c r="C70" s="46"/>
      <c r="D70" s="46"/>
      <c r="E70" s="46"/>
      <c r="F70" s="46"/>
      <c r="G70" s="46"/>
      <c r="H70" s="46"/>
      <c r="I70" s="46"/>
      <c r="J70" s="46"/>
      <c r="K70" s="46"/>
      <c r="L70" s="46"/>
      <c r="M70" s="46"/>
      <c r="N70" s="46"/>
      <c r="O70" s="46"/>
      <c r="P70" s="46"/>
      <c r="Q70" s="46"/>
      <c r="R70" s="46"/>
      <c r="S70" s="46"/>
      <c r="T70" s="46"/>
      <c r="U70" s="46"/>
    </row>
    <row r="71" spans="1:21">
      <c r="A71" s="46"/>
      <c r="B71" s="46"/>
      <c r="C71" s="46"/>
      <c r="D71" s="46"/>
      <c r="E71" s="46"/>
      <c r="F71" s="46"/>
      <c r="G71" s="46"/>
      <c r="H71" s="46"/>
      <c r="I71" s="46"/>
      <c r="J71" s="46"/>
      <c r="K71" s="46"/>
      <c r="L71" s="46"/>
      <c r="M71" s="46"/>
      <c r="N71" s="46"/>
      <c r="O71" s="46"/>
      <c r="P71" s="46"/>
      <c r="Q71" s="46"/>
      <c r="R71" s="46"/>
      <c r="S71" s="46"/>
      <c r="T71" s="46"/>
      <c r="U71" s="46"/>
    </row>
    <row r="72" spans="1:21">
      <c r="A72" s="46"/>
      <c r="B72" s="46"/>
      <c r="C72" s="46"/>
      <c r="D72" s="46"/>
      <c r="E72" s="46"/>
      <c r="F72" s="46"/>
      <c r="G72" s="46"/>
      <c r="H72" s="46"/>
      <c r="I72" s="46"/>
      <c r="J72" s="46"/>
      <c r="K72" s="46"/>
      <c r="L72" s="46"/>
      <c r="M72" s="46"/>
      <c r="N72" s="46"/>
      <c r="O72" s="46"/>
      <c r="P72" s="46"/>
      <c r="Q72" s="46"/>
      <c r="R72" s="46"/>
      <c r="S72" s="46"/>
      <c r="T72" s="46"/>
      <c r="U72" s="46"/>
    </row>
    <row r="73" spans="1:21">
      <c r="A73" s="46"/>
      <c r="B73" s="46"/>
      <c r="C73" s="46"/>
      <c r="D73" s="46"/>
      <c r="E73" s="46"/>
      <c r="F73" s="46"/>
      <c r="G73" s="46"/>
      <c r="H73" s="46"/>
      <c r="I73" s="46"/>
      <c r="J73" s="46"/>
      <c r="K73" s="46"/>
      <c r="L73" s="46"/>
      <c r="M73" s="46"/>
      <c r="N73" s="46"/>
      <c r="O73" s="46"/>
      <c r="P73" s="46"/>
      <c r="Q73" s="46"/>
      <c r="R73" s="46"/>
      <c r="S73" s="46"/>
      <c r="T73" s="46"/>
      <c r="U73" s="46"/>
    </row>
    <row r="74" spans="1:21">
      <c r="A74" s="46"/>
      <c r="B74" s="46"/>
      <c r="C74" s="46"/>
      <c r="D74" s="46"/>
      <c r="E74" s="46"/>
      <c r="F74" s="46"/>
      <c r="G74" s="46"/>
      <c r="H74" s="46"/>
      <c r="I74" s="46"/>
      <c r="J74" s="46"/>
      <c r="K74" s="46"/>
      <c r="L74" s="46"/>
      <c r="M74" s="46"/>
      <c r="N74" s="46"/>
      <c r="O74" s="46"/>
      <c r="P74" s="46"/>
      <c r="Q74" s="46"/>
      <c r="R74" s="46"/>
      <c r="S74" s="46"/>
      <c r="T74" s="46"/>
      <c r="U74" s="46"/>
    </row>
    <row r="75" spans="1:21">
      <c r="A75" s="46"/>
      <c r="B75" s="46"/>
      <c r="C75" s="46"/>
      <c r="D75" s="46"/>
      <c r="E75" s="46"/>
      <c r="F75" s="46"/>
      <c r="G75" s="46"/>
      <c r="H75" s="46"/>
      <c r="I75" s="46"/>
      <c r="J75" s="46"/>
      <c r="K75" s="46"/>
      <c r="L75" s="46"/>
      <c r="M75" s="46"/>
      <c r="N75" s="46"/>
      <c r="O75" s="46"/>
      <c r="P75" s="46"/>
      <c r="Q75" s="46"/>
      <c r="R75" s="46"/>
      <c r="S75" s="46"/>
      <c r="T75" s="46"/>
      <c r="U75" s="46"/>
    </row>
    <row r="76" spans="1:21">
      <c r="A76" s="46"/>
      <c r="B76" s="46"/>
      <c r="C76" s="46"/>
      <c r="D76" s="46"/>
      <c r="E76" s="46"/>
      <c r="F76" s="46"/>
      <c r="G76" s="46"/>
      <c r="H76" s="46"/>
      <c r="I76" s="46"/>
      <c r="J76" s="46"/>
      <c r="K76" s="46"/>
      <c r="L76" s="46"/>
      <c r="M76" s="46"/>
      <c r="N76" s="46"/>
      <c r="O76" s="46"/>
      <c r="P76" s="46"/>
      <c r="Q76" s="46"/>
      <c r="R76" s="46"/>
      <c r="S76" s="46"/>
      <c r="T76" s="46"/>
      <c r="U76" s="46"/>
    </row>
    <row r="77" spans="1:21">
      <c r="A77" s="46"/>
      <c r="B77" s="46"/>
      <c r="C77" s="46"/>
      <c r="D77" s="46"/>
      <c r="E77" s="46"/>
      <c r="F77" s="46"/>
      <c r="G77" s="46"/>
      <c r="H77" s="46"/>
      <c r="I77" s="46"/>
      <c r="J77" s="46"/>
      <c r="K77" s="46"/>
      <c r="L77" s="46"/>
      <c r="M77" s="46"/>
      <c r="N77" s="46"/>
      <c r="O77" s="46"/>
      <c r="P77" s="46"/>
      <c r="Q77" s="46"/>
      <c r="R77" s="46"/>
      <c r="S77" s="46"/>
      <c r="T77" s="46"/>
      <c r="U77" s="46"/>
    </row>
    <row r="78" spans="1:21">
      <c r="A78" s="46"/>
      <c r="B78" s="46"/>
      <c r="C78" s="46"/>
      <c r="D78" s="46"/>
      <c r="E78" s="46"/>
      <c r="F78" s="46"/>
      <c r="G78" s="46"/>
      <c r="H78" s="46"/>
      <c r="I78" s="46"/>
      <c r="J78" s="46"/>
      <c r="K78" s="46"/>
      <c r="L78" s="46"/>
      <c r="M78" s="46"/>
      <c r="N78" s="46"/>
      <c r="O78" s="46"/>
      <c r="P78" s="46"/>
      <c r="Q78" s="46"/>
      <c r="R78" s="46"/>
      <c r="S78" s="46"/>
      <c r="T78" s="46"/>
      <c r="U78" s="46"/>
    </row>
    <row r="79" spans="1:21">
      <c r="A79" s="46"/>
      <c r="B79" s="46"/>
      <c r="C79" s="46"/>
      <c r="D79" s="46"/>
      <c r="E79" s="46"/>
      <c r="F79" s="46"/>
      <c r="G79" s="46"/>
      <c r="H79" s="46"/>
      <c r="I79" s="46"/>
      <c r="J79" s="46"/>
      <c r="K79" s="46"/>
      <c r="L79" s="46"/>
      <c r="M79" s="46"/>
      <c r="N79" s="46"/>
      <c r="O79" s="46"/>
      <c r="P79" s="46"/>
      <c r="Q79" s="46"/>
      <c r="R79" s="46"/>
      <c r="S79" s="46"/>
      <c r="T79" s="46"/>
      <c r="U79" s="46"/>
    </row>
    <row r="80" spans="1:21">
      <c r="A80" s="46"/>
      <c r="B80" s="46"/>
      <c r="C80" s="46"/>
      <c r="D80" s="46"/>
      <c r="E80" s="46"/>
      <c r="F80" s="46"/>
      <c r="G80" s="46"/>
      <c r="H80" s="46"/>
      <c r="I80" s="46"/>
      <c r="J80" s="46"/>
      <c r="K80" s="46"/>
      <c r="L80" s="46"/>
      <c r="M80" s="46"/>
      <c r="N80" s="46"/>
      <c r="O80" s="46"/>
      <c r="P80" s="46"/>
      <c r="Q80" s="46"/>
      <c r="R80" s="46"/>
      <c r="S80" s="46"/>
      <c r="T80" s="46"/>
      <c r="U80" s="46"/>
    </row>
    <row r="81" spans="1:21">
      <c r="A81" s="46"/>
      <c r="B81" s="46"/>
      <c r="C81" s="46"/>
      <c r="D81" s="46"/>
      <c r="E81" s="46"/>
      <c r="F81" s="46"/>
      <c r="G81" s="46"/>
      <c r="H81" s="46"/>
      <c r="I81" s="46"/>
      <c r="J81" s="46"/>
      <c r="K81" s="46"/>
      <c r="L81" s="46"/>
      <c r="M81" s="46"/>
      <c r="N81" s="46"/>
      <c r="O81" s="46"/>
      <c r="P81" s="46"/>
      <c r="Q81" s="46"/>
      <c r="R81" s="46"/>
      <c r="S81" s="46"/>
      <c r="T81" s="46"/>
      <c r="U81" s="46"/>
    </row>
    <row r="82" spans="1:21">
      <c r="A82" s="46"/>
      <c r="B82" s="46"/>
      <c r="C82" s="46"/>
      <c r="D82" s="46"/>
      <c r="E82" s="46"/>
      <c r="F82" s="46"/>
      <c r="G82" s="46"/>
      <c r="H82" s="46"/>
      <c r="I82" s="46"/>
      <c r="J82" s="46"/>
      <c r="K82" s="46"/>
      <c r="L82" s="46"/>
      <c r="M82" s="46"/>
      <c r="N82" s="46"/>
      <c r="O82" s="46"/>
      <c r="P82" s="46"/>
      <c r="Q82" s="46"/>
      <c r="R82" s="46"/>
      <c r="S82" s="46"/>
      <c r="T82" s="46"/>
      <c r="U82" s="46"/>
    </row>
    <row r="83" spans="1:21">
      <c r="A83" s="46"/>
      <c r="B83" s="46"/>
      <c r="C83" s="46"/>
      <c r="D83" s="46"/>
      <c r="E83" s="46"/>
      <c r="F83" s="46"/>
      <c r="G83" s="46"/>
      <c r="H83" s="46"/>
      <c r="I83" s="46"/>
      <c r="J83" s="46"/>
      <c r="K83" s="46"/>
      <c r="L83" s="46"/>
      <c r="M83" s="46"/>
      <c r="N83" s="46"/>
      <c r="O83" s="46"/>
      <c r="P83" s="46"/>
      <c r="Q83" s="46"/>
      <c r="R83" s="46"/>
      <c r="S83" s="46"/>
      <c r="T83" s="46"/>
      <c r="U83" s="46"/>
    </row>
    <row r="84" spans="1:21">
      <c r="A84" s="46"/>
      <c r="B84" s="46"/>
      <c r="C84" s="46"/>
      <c r="D84" s="46"/>
      <c r="E84" s="46"/>
      <c r="F84" s="46"/>
      <c r="G84" s="46"/>
      <c r="H84" s="46"/>
      <c r="I84" s="46"/>
      <c r="J84" s="46"/>
      <c r="K84" s="46"/>
      <c r="L84" s="46"/>
      <c r="M84" s="46"/>
      <c r="N84" s="46"/>
      <c r="O84" s="46"/>
      <c r="P84" s="46"/>
      <c r="Q84" s="46"/>
      <c r="R84" s="46"/>
      <c r="S84" s="46"/>
      <c r="T84" s="46"/>
      <c r="U84" s="46"/>
    </row>
    <row r="85" spans="1:21">
      <c r="A85" s="46"/>
      <c r="B85" s="46"/>
      <c r="C85" s="46"/>
      <c r="D85" s="46"/>
      <c r="E85" s="46"/>
      <c r="F85" s="46"/>
      <c r="G85" s="46"/>
      <c r="H85" s="46"/>
      <c r="I85" s="46"/>
      <c r="J85" s="46"/>
      <c r="K85" s="46"/>
      <c r="L85" s="46"/>
      <c r="M85" s="46"/>
      <c r="N85" s="46"/>
      <c r="O85" s="46"/>
      <c r="P85" s="46"/>
      <c r="Q85" s="46"/>
      <c r="R85" s="46"/>
      <c r="S85" s="46"/>
      <c r="T85" s="46"/>
      <c r="U85" s="46"/>
    </row>
    <row r="86" spans="1:21">
      <c r="A86" s="46"/>
      <c r="B86" s="46"/>
      <c r="C86" s="46"/>
      <c r="D86" s="46"/>
      <c r="E86" s="46"/>
      <c r="F86" s="46"/>
      <c r="G86" s="46"/>
      <c r="H86" s="46"/>
      <c r="I86" s="46"/>
      <c r="J86" s="46"/>
      <c r="K86" s="46"/>
      <c r="L86" s="46"/>
      <c r="M86" s="46"/>
      <c r="N86" s="46"/>
      <c r="O86" s="46"/>
      <c r="P86" s="46"/>
      <c r="Q86" s="46"/>
      <c r="R86" s="46"/>
      <c r="S86" s="46"/>
      <c r="T86" s="46"/>
      <c r="U86" s="46"/>
    </row>
    <row r="87" spans="1:21">
      <c r="A87" s="46"/>
      <c r="B87" s="46"/>
      <c r="C87" s="46"/>
      <c r="D87" s="46"/>
      <c r="E87" s="46"/>
      <c r="F87" s="46"/>
      <c r="G87" s="46"/>
      <c r="H87" s="46"/>
      <c r="I87" s="46"/>
      <c r="J87" s="46"/>
      <c r="K87" s="46"/>
      <c r="L87" s="46"/>
      <c r="M87" s="46"/>
      <c r="N87" s="46"/>
      <c r="O87" s="46"/>
      <c r="P87" s="46"/>
      <c r="Q87" s="46"/>
      <c r="R87" s="46"/>
      <c r="S87" s="46"/>
      <c r="T87" s="46"/>
      <c r="U87" s="46"/>
    </row>
    <row r="88" spans="1:21">
      <c r="A88" s="46"/>
      <c r="B88" s="46"/>
      <c r="C88" s="46"/>
      <c r="D88" s="46"/>
      <c r="E88" s="46"/>
      <c r="F88" s="46"/>
      <c r="G88" s="46"/>
      <c r="H88" s="46"/>
      <c r="I88" s="46"/>
      <c r="J88" s="46"/>
      <c r="K88" s="46"/>
      <c r="L88" s="46"/>
      <c r="M88" s="46"/>
      <c r="N88" s="46"/>
      <c r="O88" s="46"/>
      <c r="P88" s="46"/>
      <c r="Q88" s="46"/>
      <c r="R88" s="46"/>
      <c r="S88" s="46"/>
      <c r="T88" s="46"/>
      <c r="U88" s="46"/>
    </row>
    <row r="89" spans="1:21">
      <c r="A89" s="46"/>
      <c r="B89" s="46"/>
      <c r="C89" s="46"/>
      <c r="D89" s="46"/>
      <c r="E89" s="46"/>
      <c r="F89" s="46"/>
      <c r="G89" s="46"/>
      <c r="H89" s="46"/>
      <c r="I89" s="46"/>
      <c r="J89" s="46"/>
      <c r="K89" s="46"/>
      <c r="L89" s="46"/>
      <c r="M89" s="46"/>
      <c r="N89" s="46"/>
      <c r="O89" s="46"/>
      <c r="P89" s="46"/>
      <c r="Q89" s="46"/>
      <c r="R89" s="46"/>
      <c r="S89" s="46"/>
      <c r="T89" s="46"/>
      <c r="U89" s="46"/>
    </row>
    <row r="90" spans="1:21">
      <c r="A90" s="46"/>
      <c r="B90" s="46"/>
      <c r="C90" s="46"/>
      <c r="D90" s="46"/>
      <c r="E90" s="46"/>
      <c r="F90" s="46"/>
      <c r="G90" s="46"/>
      <c r="H90" s="46"/>
      <c r="I90" s="46"/>
      <c r="J90" s="46"/>
      <c r="K90" s="46"/>
      <c r="L90" s="46"/>
      <c r="M90" s="46"/>
      <c r="N90" s="46"/>
      <c r="O90" s="46"/>
      <c r="P90" s="46"/>
      <c r="Q90" s="46"/>
      <c r="R90" s="46"/>
      <c r="S90" s="46"/>
      <c r="T90" s="46"/>
      <c r="U90" s="46"/>
    </row>
    <row r="91" spans="1:21">
      <c r="A91" s="46"/>
      <c r="B91" s="46"/>
      <c r="C91" s="46"/>
      <c r="D91" s="46"/>
      <c r="E91" s="46"/>
      <c r="F91" s="46"/>
      <c r="G91" s="46"/>
      <c r="H91" s="46"/>
      <c r="I91" s="46"/>
      <c r="J91" s="46"/>
      <c r="K91" s="46"/>
      <c r="L91" s="46"/>
      <c r="M91" s="46"/>
      <c r="N91" s="46"/>
      <c r="O91" s="46"/>
      <c r="P91" s="46"/>
      <c r="Q91" s="46"/>
      <c r="R91" s="46"/>
      <c r="S91" s="46"/>
      <c r="T91" s="46"/>
      <c r="U91" s="46"/>
    </row>
    <row r="92" spans="1:21">
      <c r="A92" s="46"/>
      <c r="B92" s="46"/>
      <c r="C92" s="46"/>
      <c r="D92" s="46"/>
      <c r="E92" s="46"/>
      <c r="F92" s="46"/>
      <c r="G92" s="46"/>
      <c r="H92" s="46"/>
      <c r="I92" s="46"/>
      <c r="J92" s="46"/>
      <c r="K92" s="46"/>
      <c r="L92" s="46"/>
      <c r="M92" s="46"/>
      <c r="N92" s="46"/>
      <c r="O92" s="46"/>
      <c r="P92" s="46"/>
      <c r="Q92" s="46"/>
      <c r="R92" s="46"/>
      <c r="S92" s="46"/>
      <c r="T92" s="46"/>
      <c r="U92" s="46"/>
    </row>
    <row r="93" spans="1:21">
      <c r="A93" s="46"/>
      <c r="B93" s="46"/>
      <c r="C93" s="46"/>
      <c r="D93" s="46"/>
      <c r="E93" s="46"/>
      <c r="F93" s="46"/>
      <c r="G93" s="46"/>
      <c r="H93" s="46"/>
      <c r="I93" s="46"/>
      <c r="J93" s="46"/>
      <c r="K93" s="46"/>
      <c r="L93" s="46"/>
      <c r="M93" s="46"/>
      <c r="N93" s="46"/>
      <c r="O93" s="46"/>
      <c r="P93" s="46"/>
      <c r="Q93" s="46"/>
      <c r="R93" s="46"/>
      <c r="S93" s="46"/>
      <c r="T93" s="46"/>
      <c r="U93" s="46"/>
    </row>
    <row r="94" spans="1:21">
      <c r="A94" s="46"/>
      <c r="B94" s="46"/>
      <c r="C94" s="46"/>
      <c r="D94" s="46"/>
      <c r="E94" s="46"/>
      <c r="F94" s="46"/>
      <c r="G94" s="46"/>
      <c r="H94" s="46"/>
      <c r="I94" s="46"/>
      <c r="J94" s="46"/>
      <c r="K94" s="46"/>
      <c r="L94" s="46"/>
      <c r="M94" s="46"/>
      <c r="N94" s="46"/>
      <c r="O94" s="46"/>
      <c r="P94" s="46"/>
      <c r="Q94" s="46"/>
      <c r="R94" s="46"/>
      <c r="S94" s="46"/>
      <c r="T94" s="46"/>
      <c r="U94" s="46"/>
    </row>
    <row r="95" spans="1:21">
      <c r="A95" s="46"/>
      <c r="B95" s="46"/>
      <c r="C95" s="46"/>
      <c r="D95" s="46"/>
      <c r="E95" s="46"/>
      <c r="F95" s="46"/>
      <c r="G95" s="46"/>
      <c r="H95" s="46"/>
      <c r="I95" s="46"/>
      <c r="J95" s="46"/>
      <c r="K95" s="46"/>
      <c r="L95" s="46"/>
      <c r="M95" s="46"/>
      <c r="N95" s="46"/>
      <c r="O95" s="46"/>
      <c r="P95" s="46"/>
      <c r="Q95" s="46"/>
      <c r="R95" s="46"/>
      <c r="S95" s="46"/>
      <c r="T95" s="46"/>
      <c r="U95" s="46"/>
    </row>
    <row r="96" spans="1:21">
      <c r="A96" s="46"/>
      <c r="B96" s="46"/>
      <c r="C96" s="46"/>
      <c r="D96" s="46"/>
      <c r="E96" s="46"/>
      <c r="F96" s="46"/>
      <c r="G96" s="46"/>
      <c r="H96" s="46"/>
      <c r="I96" s="46"/>
      <c r="J96" s="46"/>
      <c r="K96" s="46"/>
      <c r="L96" s="46"/>
      <c r="M96" s="46"/>
      <c r="N96" s="46"/>
      <c r="O96" s="46"/>
      <c r="P96" s="46"/>
      <c r="Q96" s="46"/>
      <c r="R96" s="46"/>
      <c r="S96" s="46"/>
      <c r="T96" s="46"/>
      <c r="U96" s="46"/>
    </row>
    <row r="97" spans="1:21">
      <c r="A97" s="46"/>
      <c r="B97" s="46"/>
      <c r="C97" s="46"/>
      <c r="D97" s="46"/>
      <c r="E97" s="46"/>
      <c r="F97" s="46"/>
      <c r="G97" s="46"/>
      <c r="H97" s="46"/>
      <c r="I97" s="46"/>
      <c r="J97" s="46"/>
      <c r="K97" s="46"/>
      <c r="L97" s="46"/>
      <c r="M97" s="46"/>
      <c r="N97" s="46"/>
      <c r="O97" s="46"/>
      <c r="P97" s="46"/>
      <c r="Q97" s="46"/>
      <c r="R97" s="46"/>
      <c r="S97" s="46"/>
      <c r="T97" s="46"/>
      <c r="U97" s="46"/>
    </row>
    <row r="98" spans="1:21">
      <c r="A98" s="46"/>
      <c r="B98" s="46"/>
      <c r="C98" s="46"/>
      <c r="D98" s="46"/>
      <c r="E98" s="46"/>
      <c r="F98" s="46"/>
      <c r="G98" s="46"/>
      <c r="H98" s="46"/>
      <c r="I98" s="46"/>
      <c r="J98" s="46"/>
      <c r="K98" s="46"/>
      <c r="L98" s="46"/>
      <c r="M98" s="46"/>
      <c r="N98" s="46"/>
      <c r="O98" s="46"/>
      <c r="P98" s="46"/>
      <c r="Q98" s="46"/>
      <c r="R98" s="46"/>
      <c r="S98" s="46"/>
      <c r="T98" s="46"/>
      <c r="U98" s="46"/>
    </row>
    <row r="99" spans="1:21">
      <c r="A99" s="46"/>
      <c r="B99" s="46"/>
      <c r="C99" s="46"/>
      <c r="D99" s="46"/>
      <c r="E99" s="46"/>
      <c r="F99" s="46"/>
      <c r="G99" s="46"/>
      <c r="H99" s="46"/>
      <c r="I99" s="46"/>
      <c r="J99" s="46"/>
      <c r="K99" s="46"/>
      <c r="L99" s="46"/>
      <c r="M99" s="46"/>
      <c r="N99" s="46"/>
      <c r="O99" s="46"/>
      <c r="P99" s="46"/>
      <c r="Q99" s="46"/>
      <c r="R99" s="46"/>
      <c r="S99" s="46"/>
      <c r="T99" s="46"/>
      <c r="U99" s="46"/>
    </row>
    <row r="100" spans="1:21">
      <c r="A100" s="46"/>
      <c r="B100" s="46"/>
      <c r="C100" s="46"/>
      <c r="D100" s="46"/>
      <c r="E100" s="46"/>
      <c r="F100" s="46"/>
      <c r="G100" s="46"/>
      <c r="H100" s="46"/>
      <c r="I100" s="46"/>
      <c r="J100" s="46"/>
      <c r="K100" s="46"/>
      <c r="L100" s="46"/>
      <c r="M100" s="46"/>
      <c r="N100" s="46"/>
      <c r="O100" s="46"/>
      <c r="P100" s="46"/>
      <c r="Q100" s="46"/>
      <c r="R100" s="46"/>
      <c r="S100" s="46"/>
      <c r="T100" s="46"/>
      <c r="U100" s="46"/>
    </row>
    <row r="101" spans="1:21">
      <c r="A101" s="46"/>
      <c r="B101" s="46"/>
      <c r="C101" s="46"/>
      <c r="D101" s="46"/>
      <c r="E101" s="46"/>
      <c r="F101" s="46"/>
      <c r="G101" s="46"/>
      <c r="H101" s="46"/>
      <c r="I101" s="46"/>
      <c r="J101" s="46"/>
      <c r="K101" s="46"/>
      <c r="L101" s="46"/>
      <c r="M101" s="46"/>
      <c r="N101" s="46"/>
      <c r="O101" s="46"/>
      <c r="P101" s="46"/>
      <c r="Q101" s="46"/>
      <c r="R101" s="46"/>
      <c r="S101" s="46"/>
      <c r="T101" s="46"/>
      <c r="U101" s="46"/>
    </row>
    <row r="102" spans="1:21">
      <c r="A102" s="46"/>
      <c r="B102" s="46"/>
      <c r="C102" s="46"/>
      <c r="D102" s="46"/>
      <c r="E102" s="46"/>
      <c r="F102" s="46"/>
      <c r="G102" s="46"/>
      <c r="H102" s="46"/>
      <c r="I102" s="46"/>
      <c r="J102" s="46"/>
      <c r="K102" s="46"/>
      <c r="L102" s="46"/>
      <c r="M102" s="46"/>
      <c r="N102" s="46"/>
      <c r="O102" s="46"/>
      <c r="P102" s="46"/>
      <c r="Q102" s="46"/>
      <c r="R102" s="46"/>
      <c r="S102" s="46"/>
      <c r="T102" s="46"/>
      <c r="U102" s="46"/>
    </row>
    <row r="103" spans="1:21">
      <c r="A103" s="46"/>
      <c r="B103" s="46"/>
      <c r="C103" s="46"/>
      <c r="D103" s="46"/>
      <c r="E103" s="46"/>
      <c r="F103" s="46"/>
      <c r="G103" s="46"/>
      <c r="H103" s="46"/>
      <c r="I103" s="46"/>
      <c r="J103" s="46"/>
      <c r="K103" s="46"/>
      <c r="L103" s="46"/>
      <c r="M103" s="46"/>
      <c r="N103" s="46"/>
      <c r="O103" s="46"/>
      <c r="P103" s="46"/>
      <c r="Q103" s="46"/>
      <c r="R103" s="46"/>
      <c r="S103" s="46"/>
      <c r="T103" s="46"/>
      <c r="U103" s="46"/>
    </row>
    <row r="104" spans="1:21">
      <c r="A104" s="46"/>
      <c r="B104" s="46"/>
      <c r="C104" s="46"/>
      <c r="D104" s="46"/>
      <c r="E104" s="46"/>
      <c r="F104" s="46"/>
      <c r="G104" s="46"/>
      <c r="H104" s="46"/>
      <c r="I104" s="46"/>
      <c r="J104" s="46"/>
      <c r="K104" s="46"/>
      <c r="L104" s="46"/>
      <c r="M104" s="46"/>
      <c r="N104" s="46"/>
      <c r="O104" s="46"/>
      <c r="P104" s="46"/>
      <c r="Q104" s="46"/>
      <c r="R104" s="46"/>
      <c r="S104" s="46"/>
      <c r="T104" s="46"/>
      <c r="U104" s="46"/>
    </row>
    <row r="105" spans="1:21">
      <c r="A105" s="46"/>
      <c r="B105" s="46"/>
      <c r="C105" s="46"/>
      <c r="D105" s="46"/>
      <c r="E105" s="46"/>
      <c r="F105" s="46"/>
      <c r="G105" s="46"/>
      <c r="H105" s="46"/>
      <c r="I105" s="46"/>
      <c r="J105" s="46"/>
      <c r="K105" s="46"/>
      <c r="L105" s="46"/>
      <c r="M105" s="46"/>
      <c r="N105" s="46"/>
      <c r="O105" s="46"/>
      <c r="P105" s="46"/>
      <c r="Q105" s="46"/>
      <c r="R105" s="46"/>
      <c r="S105" s="46"/>
      <c r="T105" s="46"/>
      <c r="U105" s="46"/>
    </row>
    <row r="106" spans="1:21">
      <c r="A106" s="46"/>
      <c r="B106" s="46"/>
      <c r="C106" s="46"/>
      <c r="D106" s="46"/>
      <c r="E106" s="46"/>
      <c r="F106" s="46"/>
      <c r="G106" s="46"/>
      <c r="H106" s="46"/>
      <c r="I106" s="46"/>
      <c r="J106" s="46"/>
      <c r="K106" s="46"/>
      <c r="L106" s="46"/>
      <c r="M106" s="46"/>
      <c r="N106" s="46"/>
      <c r="O106" s="46"/>
      <c r="P106" s="46"/>
      <c r="Q106" s="46"/>
      <c r="R106" s="46"/>
      <c r="S106" s="46"/>
      <c r="T106" s="46"/>
      <c r="U106" s="46"/>
    </row>
    <row r="107" spans="1:21">
      <c r="A107" s="46"/>
      <c r="B107" s="46"/>
      <c r="C107" s="46"/>
      <c r="D107" s="46"/>
      <c r="E107" s="46"/>
      <c r="F107" s="46"/>
      <c r="G107" s="46"/>
      <c r="H107" s="46"/>
      <c r="I107" s="46"/>
      <c r="J107" s="46"/>
      <c r="K107" s="46"/>
      <c r="L107" s="46"/>
      <c r="M107" s="46"/>
      <c r="N107" s="46"/>
      <c r="O107" s="46"/>
      <c r="P107" s="46"/>
      <c r="Q107" s="46"/>
      <c r="R107" s="46"/>
      <c r="S107" s="46"/>
      <c r="T107" s="46"/>
      <c r="U107" s="46"/>
    </row>
    <row r="108" spans="1:21">
      <c r="A108" s="46"/>
      <c r="B108" s="46"/>
      <c r="C108" s="46"/>
      <c r="D108" s="46"/>
      <c r="E108" s="46"/>
      <c r="F108" s="46"/>
      <c r="G108" s="46"/>
      <c r="H108" s="46"/>
      <c r="I108" s="46"/>
      <c r="J108" s="46"/>
      <c r="K108" s="46"/>
      <c r="L108" s="46"/>
      <c r="M108" s="46"/>
      <c r="N108" s="46"/>
      <c r="O108" s="46"/>
      <c r="P108" s="46"/>
      <c r="Q108" s="46"/>
      <c r="R108" s="46"/>
      <c r="S108" s="46"/>
      <c r="T108" s="46"/>
      <c r="U108" s="46"/>
    </row>
    <row r="109" spans="1:21">
      <c r="A109" s="46"/>
      <c r="B109" s="46"/>
      <c r="C109" s="46"/>
      <c r="D109" s="46"/>
      <c r="E109" s="46"/>
      <c r="F109" s="46"/>
      <c r="G109" s="46"/>
      <c r="H109" s="46"/>
      <c r="I109" s="46"/>
      <c r="J109" s="46"/>
      <c r="K109" s="46"/>
      <c r="L109" s="46"/>
      <c r="M109" s="46"/>
      <c r="N109" s="46"/>
      <c r="O109" s="46"/>
      <c r="P109" s="46"/>
      <c r="Q109" s="46"/>
      <c r="R109" s="46"/>
      <c r="S109" s="46"/>
      <c r="T109" s="46"/>
      <c r="U109" s="46"/>
    </row>
    <row r="110" spans="1:21">
      <c r="A110" s="46"/>
      <c r="B110" s="46"/>
      <c r="C110" s="46"/>
      <c r="D110" s="46"/>
      <c r="E110" s="46"/>
      <c r="F110" s="46"/>
      <c r="G110" s="46"/>
      <c r="H110" s="46"/>
      <c r="I110" s="46"/>
      <c r="J110" s="46"/>
      <c r="K110" s="46"/>
      <c r="L110" s="46"/>
      <c r="M110" s="46"/>
      <c r="N110" s="46"/>
      <c r="O110" s="46"/>
      <c r="P110" s="46"/>
      <c r="Q110" s="46"/>
      <c r="R110" s="46"/>
      <c r="S110" s="46"/>
      <c r="T110" s="46"/>
      <c r="U110" s="46"/>
    </row>
    <row r="111" spans="1:21">
      <c r="A111" s="46"/>
      <c r="B111" s="46"/>
      <c r="C111" s="46"/>
      <c r="D111" s="46"/>
      <c r="E111" s="46"/>
      <c r="F111" s="46"/>
      <c r="G111" s="46"/>
      <c r="H111" s="46"/>
      <c r="I111" s="46"/>
      <c r="J111" s="46"/>
      <c r="K111" s="46"/>
      <c r="L111" s="46"/>
      <c r="M111" s="46"/>
      <c r="N111" s="46"/>
      <c r="O111" s="46"/>
      <c r="P111" s="46"/>
      <c r="Q111" s="46"/>
      <c r="R111" s="46"/>
      <c r="S111" s="46"/>
      <c r="T111" s="46"/>
      <c r="U111" s="46"/>
    </row>
    <row r="112" spans="1:21">
      <c r="A112" s="46"/>
      <c r="B112" s="46"/>
      <c r="C112" s="46"/>
      <c r="D112" s="46"/>
      <c r="E112" s="46"/>
      <c r="F112" s="46"/>
      <c r="G112" s="46"/>
      <c r="H112" s="46"/>
      <c r="I112" s="46"/>
      <c r="J112" s="46"/>
      <c r="K112" s="46"/>
      <c r="L112" s="46"/>
      <c r="M112" s="46"/>
      <c r="N112" s="46"/>
      <c r="O112" s="46"/>
      <c r="P112" s="46"/>
      <c r="Q112" s="46"/>
      <c r="R112" s="46"/>
      <c r="S112" s="46"/>
      <c r="T112" s="46"/>
      <c r="U112" s="46"/>
    </row>
    <row r="113" spans="1:21">
      <c r="A113" s="46"/>
      <c r="B113" s="46"/>
      <c r="C113" s="46"/>
      <c r="D113" s="46"/>
      <c r="E113" s="46"/>
      <c r="F113" s="46"/>
      <c r="G113" s="46"/>
      <c r="H113" s="46"/>
      <c r="I113" s="46"/>
      <c r="J113" s="46"/>
      <c r="K113" s="46"/>
      <c r="L113" s="46"/>
      <c r="M113" s="46"/>
      <c r="N113" s="46"/>
      <c r="O113" s="46"/>
      <c r="P113" s="46"/>
      <c r="Q113" s="46"/>
      <c r="R113" s="46"/>
      <c r="S113" s="46"/>
      <c r="T113" s="46"/>
      <c r="U113" s="46"/>
    </row>
    <row r="114" spans="1:21">
      <c r="A114" s="46"/>
      <c r="B114" s="46"/>
      <c r="C114" s="46"/>
      <c r="D114" s="46"/>
      <c r="E114" s="46"/>
      <c r="F114" s="46"/>
      <c r="G114" s="46"/>
      <c r="H114" s="46"/>
      <c r="I114" s="46"/>
      <c r="J114" s="46"/>
      <c r="K114" s="46"/>
      <c r="L114" s="46"/>
      <c r="M114" s="46"/>
      <c r="N114" s="46"/>
      <c r="O114" s="46"/>
      <c r="P114" s="46"/>
      <c r="Q114" s="46"/>
      <c r="R114" s="46"/>
      <c r="S114" s="46"/>
      <c r="T114" s="46"/>
      <c r="U114" s="46"/>
    </row>
    <row r="115" spans="1:21">
      <c r="A115" s="46"/>
      <c r="B115" s="46"/>
      <c r="C115" s="46"/>
      <c r="D115" s="46"/>
      <c r="E115" s="46"/>
      <c r="F115" s="46"/>
      <c r="G115" s="46"/>
      <c r="H115" s="46"/>
      <c r="I115" s="46"/>
      <c r="J115" s="46"/>
      <c r="K115" s="46"/>
      <c r="L115" s="46"/>
      <c r="M115" s="46"/>
      <c r="N115" s="46"/>
      <c r="O115" s="46"/>
      <c r="P115" s="46"/>
      <c r="Q115" s="46"/>
      <c r="R115" s="46"/>
      <c r="S115" s="46"/>
      <c r="T115" s="46"/>
      <c r="U115" s="46"/>
    </row>
    <row r="116" spans="1:21">
      <c r="A116" s="46"/>
      <c r="B116" s="46"/>
      <c r="C116" s="46"/>
      <c r="D116" s="46"/>
      <c r="E116" s="46"/>
      <c r="F116" s="46"/>
      <c r="G116" s="46"/>
      <c r="H116" s="46"/>
      <c r="I116" s="46"/>
      <c r="J116" s="46"/>
      <c r="K116" s="46"/>
      <c r="L116" s="46"/>
      <c r="M116" s="46"/>
      <c r="N116" s="46"/>
      <c r="O116" s="46"/>
      <c r="P116" s="46"/>
      <c r="Q116" s="46"/>
      <c r="R116" s="46"/>
      <c r="S116" s="46"/>
      <c r="T116" s="46"/>
      <c r="U116" s="46"/>
    </row>
    <row r="117" spans="1:21">
      <c r="A117" s="46"/>
      <c r="B117" s="46"/>
      <c r="C117" s="46"/>
      <c r="D117" s="46"/>
      <c r="E117" s="46"/>
      <c r="F117" s="46"/>
      <c r="G117" s="46"/>
      <c r="H117" s="46"/>
      <c r="I117" s="46"/>
      <c r="J117" s="46"/>
      <c r="K117" s="46"/>
      <c r="L117" s="46"/>
      <c r="M117" s="46"/>
      <c r="N117" s="46"/>
      <c r="O117" s="46"/>
      <c r="P117" s="46"/>
      <c r="Q117" s="46"/>
      <c r="R117" s="46"/>
      <c r="S117" s="46"/>
      <c r="T117" s="46"/>
      <c r="U117" s="46"/>
    </row>
    <row r="118" spans="1:21">
      <c r="A118" s="46"/>
      <c r="B118" s="46"/>
      <c r="C118" s="46"/>
      <c r="D118" s="46"/>
      <c r="E118" s="46"/>
      <c r="F118" s="46"/>
      <c r="G118" s="46"/>
      <c r="H118" s="46"/>
      <c r="I118" s="46"/>
      <c r="J118" s="46"/>
      <c r="K118" s="46"/>
      <c r="L118" s="46"/>
      <c r="M118" s="46"/>
      <c r="N118" s="46"/>
      <c r="O118" s="46"/>
      <c r="P118" s="46"/>
      <c r="Q118" s="46"/>
      <c r="R118" s="46"/>
      <c r="S118" s="46"/>
      <c r="T118" s="46"/>
      <c r="U118" s="46"/>
    </row>
    <row r="119" spans="1:21">
      <c r="A119" s="46"/>
      <c r="B119" s="46"/>
      <c r="C119" s="46"/>
      <c r="D119" s="46"/>
      <c r="E119" s="46"/>
      <c r="F119" s="46"/>
      <c r="G119" s="46"/>
      <c r="H119" s="46"/>
      <c r="I119" s="46"/>
      <c r="J119" s="46"/>
      <c r="K119" s="46"/>
      <c r="L119" s="46"/>
      <c r="M119" s="46"/>
      <c r="N119" s="46"/>
      <c r="O119" s="46"/>
      <c r="P119" s="46"/>
      <c r="Q119" s="46"/>
      <c r="R119" s="46"/>
      <c r="S119" s="46"/>
      <c r="T119" s="46"/>
      <c r="U119" s="46"/>
    </row>
    <row r="120" spans="1:21">
      <c r="A120" s="46"/>
      <c r="B120" s="46"/>
      <c r="C120" s="46"/>
      <c r="D120" s="46"/>
      <c r="E120" s="46"/>
      <c r="F120" s="46"/>
      <c r="G120" s="46"/>
      <c r="H120" s="46"/>
      <c r="I120" s="46"/>
      <c r="J120" s="46"/>
      <c r="K120" s="46"/>
      <c r="L120" s="46"/>
      <c r="M120" s="46"/>
      <c r="N120" s="46"/>
      <c r="O120" s="46"/>
      <c r="P120" s="46"/>
      <c r="Q120" s="46"/>
      <c r="R120" s="46"/>
      <c r="S120" s="46"/>
      <c r="T120" s="46"/>
      <c r="U120" s="46"/>
    </row>
    <row r="121" spans="1:21">
      <c r="A121" s="46"/>
      <c r="B121" s="46"/>
      <c r="C121" s="46"/>
      <c r="D121" s="46"/>
      <c r="E121" s="46"/>
      <c r="F121" s="46"/>
      <c r="G121" s="46"/>
      <c r="H121" s="46"/>
      <c r="I121" s="46"/>
      <c r="J121" s="46"/>
      <c r="K121" s="46"/>
      <c r="L121" s="46"/>
      <c r="M121" s="46"/>
      <c r="N121" s="46"/>
      <c r="O121" s="46"/>
      <c r="P121" s="46"/>
      <c r="Q121" s="46"/>
      <c r="R121" s="46"/>
      <c r="S121" s="46"/>
      <c r="T121" s="46"/>
      <c r="U121" s="46"/>
    </row>
    <row r="122" spans="1:21">
      <c r="A122" s="46"/>
      <c r="B122" s="46"/>
      <c r="C122" s="46"/>
      <c r="D122" s="46"/>
      <c r="E122" s="46"/>
      <c r="F122" s="46"/>
      <c r="G122" s="46"/>
      <c r="H122" s="46"/>
      <c r="I122" s="46"/>
      <c r="J122" s="46"/>
      <c r="K122" s="46"/>
      <c r="L122" s="46"/>
      <c r="M122" s="46"/>
      <c r="N122" s="46"/>
      <c r="O122" s="46"/>
      <c r="P122" s="46"/>
      <c r="Q122" s="46"/>
      <c r="R122" s="46"/>
      <c r="S122" s="46"/>
      <c r="T122" s="46"/>
      <c r="U122" s="46"/>
    </row>
    <row r="123" spans="1:21">
      <c r="A123" s="46"/>
      <c r="B123" s="46"/>
      <c r="C123" s="46"/>
      <c r="D123" s="46"/>
      <c r="E123" s="46"/>
      <c r="F123" s="46"/>
      <c r="G123" s="46"/>
      <c r="H123" s="46"/>
      <c r="I123" s="46"/>
      <c r="J123" s="46"/>
      <c r="K123" s="46"/>
      <c r="L123" s="46"/>
      <c r="M123" s="46"/>
      <c r="N123" s="46"/>
      <c r="O123" s="46"/>
      <c r="P123" s="46"/>
      <c r="Q123" s="46"/>
      <c r="R123" s="46"/>
      <c r="S123" s="46"/>
      <c r="T123" s="46"/>
      <c r="U123" s="46"/>
    </row>
    <row r="124" spans="1:21">
      <c r="A124" s="46"/>
      <c r="B124" s="46"/>
      <c r="C124" s="46"/>
      <c r="D124" s="46"/>
      <c r="E124" s="46"/>
      <c r="F124" s="46"/>
      <c r="G124" s="46"/>
      <c r="H124" s="46"/>
      <c r="I124" s="46"/>
      <c r="J124" s="46"/>
      <c r="K124" s="46"/>
      <c r="L124" s="46"/>
      <c r="M124" s="46"/>
      <c r="N124" s="46"/>
      <c r="O124" s="46"/>
      <c r="P124" s="46"/>
      <c r="Q124" s="46"/>
      <c r="R124" s="46"/>
      <c r="S124" s="46"/>
      <c r="T124" s="46"/>
      <c r="U124" s="46"/>
    </row>
    <row r="125" spans="1:21">
      <c r="A125" s="46"/>
      <c r="B125" s="46"/>
      <c r="C125" s="46"/>
      <c r="D125" s="46"/>
      <c r="E125" s="46"/>
      <c r="F125" s="46"/>
      <c r="G125" s="46"/>
      <c r="H125" s="46"/>
      <c r="I125" s="46"/>
      <c r="J125" s="46"/>
      <c r="K125" s="46"/>
      <c r="L125" s="46"/>
      <c r="M125" s="46"/>
      <c r="N125" s="46"/>
      <c r="O125" s="46"/>
      <c r="P125" s="46"/>
      <c r="Q125" s="46"/>
      <c r="R125" s="46"/>
      <c r="S125" s="46"/>
      <c r="T125" s="46"/>
      <c r="U125" s="46"/>
    </row>
    <row r="126" spans="1:21">
      <c r="A126" s="46"/>
      <c r="B126" s="46"/>
      <c r="C126" s="46"/>
      <c r="D126" s="46"/>
      <c r="E126" s="46"/>
      <c r="F126" s="46"/>
      <c r="G126" s="46"/>
      <c r="H126" s="46"/>
      <c r="I126" s="46"/>
      <c r="J126" s="46"/>
      <c r="K126" s="46"/>
      <c r="L126" s="46"/>
      <c r="M126" s="46"/>
      <c r="N126" s="46"/>
      <c r="O126" s="46"/>
      <c r="P126" s="46"/>
      <c r="Q126" s="46"/>
      <c r="R126" s="46"/>
      <c r="S126" s="46"/>
      <c r="T126" s="46"/>
      <c r="U126" s="46"/>
    </row>
    <row r="127" spans="1:21">
      <c r="A127" s="46"/>
      <c r="B127" s="46"/>
      <c r="C127" s="46"/>
      <c r="D127" s="46"/>
      <c r="E127" s="46"/>
      <c r="F127" s="46"/>
      <c r="G127" s="46"/>
      <c r="H127" s="46"/>
      <c r="I127" s="46"/>
      <c r="J127" s="46"/>
      <c r="K127" s="46"/>
      <c r="L127" s="46"/>
      <c r="M127" s="46"/>
      <c r="N127" s="46"/>
      <c r="O127" s="46"/>
      <c r="P127" s="46"/>
      <c r="Q127" s="46"/>
      <c r="R127" s="46"/>
      <c r="S127" s="46"/>
      <c r="T127" s="46"/>
      <c r="U127" s="46"/>
    </row>
    <row r="128" spans="1:21">
      <c r="A128" s="46"/>
      <c r="B128" s="46"/>
      <c r="C128" s="46"/>
      <c r="D128" s="46"/>
      <c r="E128" s="46"/>
      <c r="F128" s="46"/>
      <c r="G128" s="46"/>
      <c r="H128" s="46"/>
      <c r="I128" s="46"/>
      <c r="J128" s="46"/>
      <c r="K128" s="46"/>
      <c r="L128" s="46"/>
      <c r="M128" s="46"/>
      <c r="N128" s="46"/>
      <c r="O128" s="46"/>
      <c r="P128" s="46"/>
      <c r="Q128" s="46"/>
      <c r="R128" s="46"/>
      <c r="S128" s="46"/>
      <c r="T128" s="46"/>
      <c r="U128" s="46"/>
    </row>
    <row r="129" spans="1:21">
      <c r="A129" s="46"/>
      <c r="B129" s="46"/>
      <c r="C129" s="46"/>
      <c r="D129" s="46"/>
      <c r="E129" s="46"/>
      <c r="F129" s="46"/>
      <c r="G129" s="46"/>
      <c r="H129" s="46"/>
      <c r="I129" s="46"/>
      <c r="J129" s="46"/>
      <c r="K129" s="46"/>
      <c r="L129" s="46"/>
      <c r="M129" s="46"/>
      <c r="N129" s="46"/>
      <c r="O129" s="46"/>
      <c r="P129" s="46"/>
      <c r="Q129" s="46"/>
      <c r="R129" s="46"/>
      <c r="S129" s="46"/>
      <c r="T129" s="46"/>
      <c r="U129" s="46"/>
    </row>
    <row r="130" spans="1:21">
      <c r="A130" s="46"/>
      <c r="B130" s="46"/>
      <c r="C130" s="46"/>
      <c r="D130" s="46"/>
      <c r="E130" s="46"/>
      <c r="F130" s="46"/>
      <c r="G130" s="46"/>
      <c r="H130" s="46"/>
      <c r="I130" s="46"/>
      <c r="J130" s="46"/>
      <c r="K130" s="46"/>
      <c r="L130" s="46"/>
      <c r="M130" s="46"/>
      <c r="N130" s="46"/>
      <c r="O130" s="46"/>
      <c r="P130" s="46"/>
      <c r="Q130" s="46"/>
      <c r="R130" s="46"/>
      <c r="S130" s="46"/>
      <c r="T130" s="46"/>
      <c r="U130" s="46"/>
    </row>
    <row r="131" spans="1:21">
      <c r="A131" s="46"/>
      <c r="B131" s="46"/>
      <c r="C131" s="46"/>
      <c r="D131" s="46"/>
      <c r="E131" s="46"/>
      <c r="F131" s="46"/>
      <c r="G131" s="46"/>
      <c r="H131" s="46"/>
      <c r="I131" s="46"/>
      <c r="J131" s="46"/>
      <c r="K131" s="46"/>
      <c r="L131" s="46"/>
      <c r="M131" s="46"/>
      <c r="N131" s="46"/>
      <c r="O131" s="46"/>
      <c r="P131" s="46"/>
      <c r="Q131" s="46"/>
      <c r="R131" s="46"/>
      <c r="S131" s="46"/>
      <c r="T131" s="46"/>
      <c r="U131" s="46"/>
    </row>
    <row r="132" spans="1:21">
      <c r="A132" s="46"/>
      <c r="B132" s="46"/>
      <c r="C132" s="46"/>
      <c r="D132" s="46"/>
      <c r="E132" s="46"/>
      <c r="F132" s="46"/>
      <c r="G132" s="46"/>
      <c r="H132" s="46"/>
      <c r="I132" s="46"/>
      <c r="J132" s="46"/>
      <c r="K132" s="46"/>
      <c r="L132" s="46"/>
      <c r="M132" s="46"/>
      <c r="N132" s="46"/>
      <c r="O132" s="46"/>
      <c r="P132" s="46"/>
      <c r="Q132" s="46"/>
      <c r="R132" s="46"/>
      <c r="S132" s="46"/>
      <c r="T132" s="46"/>
      <c r="U132" s="46"/>
    </row>
    <row r="133" spans="1:21">
      <c r="A133" s="46"/>
      <c r="B133" s="46"/>
      <c r="C133" s="46"/>
      <c r="D133" s="46"/>
      <c r="E133" s="46"/>
      <c r="F133" s="46"/>
      <c r="G133" s="46"/>
      <c r="H133" s="46"/>
      <c r="I133" s="46"/>
      <c r="J133" s="46"/>
      <c r="K133" s="46"/>
      <c r="L133" s="46"/>
      <c r="M133" s="46"/>
      <c r="N133" s="46"/>
      <c r="O133" s="46"/>
      <c r="P133" s="46"/>
      <c r="Q133" s="46"/>
      <c r="R133" s="46"/>
      <c r="S133" s="46"/>
      <c r="T133" s="46"/>
      <c r="U133" s="46"/>
    </row>
    <row r="134" spans="1:21">
      <c r="A134" s="46"/>
      <c r="B134" s="46"/>
      <c r="C134" s="46"/>
      <c r="D134" s="46"/>
      <c r="E134" s="46"/>
      <c r="F134" s="46"/>
      <c r="G134" s="46"/>
      <c r="H134" s="46"/>
      <c r="I134" s="46"/>
      <c r="J134" s="46"/>
      <c r="K134" s="46"/>
      <c r="L134" s="46"/>
      <c r="M134" s="46"/>
      <c r="N134" s="46"/>
      <c r="O134" s="46"/>
      <c r="P134" s="46"/>
      <c r="Q134" s="46"/>
      <c r="R134" s="46"/>
      <c r="S134" s="46"/>
      <c r="T134" s="46"/>
      <c r="U134" s="46"/>
    </row>
    <row r="135" spans="1:21">
      <c r="A135" s="46"/>
      <c r="B135" s="46"/>
      <c r="C135" s="46"/>
      <c r="D135" s="46"/>
      <c r="E135" s="46"/>
      <c r="F135" s="46"/>
      <c r="G135" s="46"/>
      <c r="H135" s="46"/>
      <c r="I135" s="46"/>
      <c r="J135" s="46"/>
      <c r="K135" s="46"/>
      <c r="L135" s="46"/>
      <c r="M135" s="46"/>
      <c r="N135" s="46"/>
      <c r="O135" s="46"/>
      <c r="P135" s="46"/>
      <c r="Q135" s="46"/>
      <c r="R135" s="46"/>
      <c r="S135" s="46"/>
      <c r="T135" s="46"/>
      <c r="U135" s="46"/>
    </row>
    <row r="136" spans="1:21">
      <c r="A136" s="46"/>
      <c r="B136" s="46"/>
      <c r="C136" s="46"/>
      <c r="D136" s="46"/>
      <c r="E136" s="46"/>
      <c r="F136" s="46"/>
      <c r="G136" s="46"/>
      <c r="H136" s="46"/>
      <c r="I136" s="46"/>
      <c r="J136" s="46"/>
      <c r="K136" s="46"/>
      <c r="L136" s="46"/>
      <c r="M136" s="46"/>
      <c r="N136" s="46"/>
      <c r="O136" s="46"/>
      <c r="P136" s="46"/>
      <c r="Q136" s="46"/>
      <c r="R136" s="46"/>
      <c r="S136" s="46"/>
      <c r="T136" s="46"/>
      <c r="U136" s="46"/>
    </row>
    <row r="137" spans="1:21">
      <c r="A137" s="46"/>
      <c r="B137" s="46"/>
      <c r="C137" s="46"/>
      <c r="D137" s="46"/>
      <c r="E137" s="46"/>
      <c r="F137" s="46"/>
      <c r="G137" s="46"/>
      <c r="H137" s="46"/>
      <c r="I137" s="46"/>
      <c r="J137" s="46"/>
      <c r="K137" s="46"/>
      <c r="L137" s="46"/>
      <c r="M137" s="46"/>
      <c r="N137" s="46"/>
      <c r="O137" s="46"/>
      <c r="P137" s="46"/>
      <c r="Q137" s="46"/>
      <c r="R137" s="46"/>
      <c r="S137" s="46"/>
      <c r="T137" s="46"/>
      <c r="U137" s="46"/>
    </row>
    <row r="138" spans="1:21">
      <c r="A138" s="46"/>
      <c r="B138" s="46"/>
      <c r="C138" s="46"/>
      <c r="D138" s="46"/>
      <c r="E138" s="46"/>
      <c r="F138" s="46"/>
      <c r="G138" s="46"/>
      <c r="H138" s="46"/>
      <c r="I138" s="46"/>
      <c r="J138" s="46"/>
      <c r="K138" s="46"/>
      <c r="L138" s="46"/>
      <c r="M138" s="46"/>
      <c r="N138" s="46"/>
      <c r="O138" s="46"/>
      <c r="P138" s="46"/>
      <c r="Q138" s="46"/>
      <c r="R138" s="46"/>
      <c r="S138" s="46"/>
      <c r="T138" s="46"/>
      <c r="U138" s="46"/>
    </row>
    <row r="139" spans="1:21">
      <c r="A139" s="46"/>
      <c r="B139" s="46"/>
      <c r="C139" s="46"/>
      <c r="D139" s="46"/>
      <c r="E139" s="46"/>
      <c r="F139" s="46"/>
      <c r="G139" s="46"/>
      <c r="H139" s="46"/>
      <c r="I139" s="46"/>
      <c r="J139" s="46"/>
      <c r="K139" s="46"/>
      <c r="L139" s="46"/>
      <c r="M139" s="46"/>
      <c r="N139" s="46"/>
      <c r="O139" s="46"/>
      <c r="P139" s="46"/>
      <c r="Q139" s="46"/>
      <c r="R139" s="46"/>
      <c r="S139" s="46"/>
      <c r="T139" s="46"/>
      <c r="U139" s="46"/>
    </row>
    <row r="140" spans="1:21">
      <c r="A140" s="46"/>
      <c r="B140" s="46"/>
      <c r="C140" s="46"/>
      <c r="D140" s="46"/>
      <c r="E140" s="46"/>
      <c r="F140" s="46"/>
      <c r="G140" s="46"/>
      <c r="H140" s="46"/>
      <c r="I140" s="46"/>
      <c r="J140" s="46"/>
      <c r="K140" s="46"/>
      <c r="L140" s="46"/>
      <c r="M140" s="46"/>
      <c r="N140" s="46"/>
      <c r="O140" s="46"/>
      <c r="P140" s="46"/>
      <c r="Q140" s="46"/>
      <c r="R140" s="46"/>
      <c r="S140" s="46"/>
      <c r="T140" s="46"/>
      <c r="U140" s="46"/>
    </row>
    <row r="141" spans="1:21">
      <c r="A141" s="46"/>
      <c r="B141" s="46"/>
      <c r="C141" s="46"/>
      <c r="D141" s="46"/>
      <c r="E141" s="46"/>
      <c r="F141" s="46"/>
      <c r="G141" s="46"/>
      <c r="H141" s="46"/>
      <c r="I141" s="46"/>
      <c r="J141" s="46"/>
      <c r="K141" s="46"/>
      <c r="L141" s="46"/>
      <c r="M141" s="46"/>
      <c r="N141" s="46"/>
      <c r="O141" s="46"/>
      <c r="P141" s="46"/>
      <c r="Q141" s="46"/>
      <c r="R141" s="46"/>
      <c r="S141" s="46"/>
      <c r="T141" s="46"/>
      <c r="U141" s="46"/>
    </row>
    <row r="142" spans="1:21">
      <c r="A142" s="46"/>
      <c r="B142" s="46"/>
      <c r="C142" s="46"/>
      <c r="D142" s="46"/>
      <c r="E142" s="46"/>
      <c r="F142" s="46"/>
      <c r="G142" s="46"/>
      <c r="H142" s="46"/>
      <c r="I142" s="46"/>
      <c r="J142" s="46"/>
      <c r="K142" s="46"/>
      <c r="L142" s="46"/>
      <c r="M142" s="46"/>
      <c r="N142" s="46"/>
      <c r="O142" s="46"/>
      <c r="P142" s="46"/>
      <c r="Q142" s="46"/>
      <c r="R142" s="46"/>
      <c r="S142" s="46"/>
      <c r="T142" s="46"/>
      <c r="U142" s="46"/>
    </row>
    <row r="143" spans="1:21">
      <c r="A143" s="46"/>
      <c r="B143" s="46"/>
      <c r="C143" s="46"/>
      <c r="D143" s="46"/>
      <c r="E143" s="46"/>
      <c r="F143" s="46"/>
      <c r="G143" s="46"/>
      <c r="H143" s="46"/>
      <c r="I143" s="46"/>
      <c r="J143" s="46"/>
      <c r="K143" s="46"/>
      <c r="L143" s="46"/>
      <c r="M143" s="46"/>
      <c r="N143" s="46"/>
      <c r="O143" s="46"/>
      <c r="P143" s="46"/>
      <c r="Q143" s="46"/>
      <c r="R143" s="46"/>
      <c r="S143" s="46"/>
      <c r="T143" s="46"/>
      <c r="U143" s="46"/>
    </row>
    <row r="144" spans="1:21">
      <c r="A144" s="46"/>
      <c r="B144" s="46"/>
      <c r="C144" s="46"/>
      <c r="D144" s="46"/>
      <c r="E144" s="46"/>
      <c r="F144" s="46"/>
      <c r="G144" s="46"/>
      <c r="H144" s="46"/>
      <c r="I144" s="46"/>
      <c r="J144" s="46"/>
      <c r="K144" s="46"/>
      <c r="L144" s="46"/>
      <c r="M144" s="46"/>
      <c r="N144" s="46"/>
      <c r="O144" s="46"/>
      <c r="P144" s="46"/>
      <c r="Q144" s="46"/>
      <c r="R144" s="46"/>
      <c r="S144" s="46"/>
      <c r="T144" s="46"/>
      <c r="U144" s="46"/>
    </row>
    <row r="145" spans="1:21">
      <c r="A145" s="46"/>
      <c r="B145" s="46"/>
      <c r="C145" s="46"/>
      <c r="D145" s="46"/>
      <c r="E145" s="46"/>
      <c r="F145" s="46"/>
      <c r="G145" s="46"/>
      <c r="H145" s="46"/>
      <c r="I145" s="46"/>
      <c r="J145" s="46"/>
      <c r="K145" s="46"/>
      <c r="L145" s="46"/>
      <c r="M145" s="46"/>
      <c r="N145" s="46"/>
      <c r="O145" s="46"/>
      <c r="P145" s="46"/>
      <c r="Q145" s="46"/>
      <c r="R145" s="46"/>
      <c r="S145" s="46"/>
      <c r="T145" s="46"/>
      <c r="U145" s="46"/>
    </row>
    <row r="146" spans="1:21">
      <c r="A146" s="46"/>
      <c r="B146" s="46"/>
      <c r="C146" s="46"/>
      <c r="D146" s="46"/>
      <c r="E146" s="46"/>
      <c r="F146" s="46"/>
      <c r="G146" s="46"/>
      <c r="H146" s="46"/>
      <c r="I146" s="46"/>
      <c r="J146" s="46"/>
      <c r="K146" s="46"/>
      <c r="L146" s="46"/>
      <c r="M146" s="46"/>
      <c r="N146" s="46"/>
      <c r="O146" s="46"/>
      <c r="P146" s="46"/>
      <c r="Q146" s="46"/>
      <c r="R146" s="46"/>
      <c r="S146" s="46"/>
      <c r="T146" s="46"/>
      <c r="U146" s="46"/>
    </row>
    <row r="147" spans="1:21">
      <c r="A147" s="46"/>
      <c r="B147" s="46"/>
      <c r="C147" s="46"/>
      <c r="D147" s="46"/>
      <c r="E147" s="46"/>
      <c r="F147" s="46"/>
      <c r="G147" s="46"/>
      <c r="H147" s="46"/>
      <c r="I147" s="46"/>
      <c r="J147" s="46"/>
      <c r="K147" s="46"/>
      <c r="L147" s="46"/>
      <c r="M147" s="46"/>
      <c r="N147" s="46"/>
      <c r="O147" s="46"/>
      <c r="P147" s="46"/>
      <c r="Q147" s="46"/>
      <c r="R147" s="46"/>
      <c r="S147" s="46"/>
      <c r="T147" s="46"/>
      <c r="U147" s="46"/>
    </row>
    <row r="148" spans="1:21">
      <c r="A148" s="46"/>
      <c r="B148" s="46"/>
      <c r="C148" s="46"/>
      <c r="D148" s="46"/>
      <c r="E148" s="46"/>
      <c r="F148" s="46"/>
      <c r="G148" s="46"/>
      <c r="H148" s="46"/>
      <c r="I148" s="46"/>
      <c r="J148" s="46"/>
      <c r="K148" s="46"/>
      <c r="L148" s="46"/>
      <c r="M148" s="46"/>
      <c r="N148" s="46"/>
      <c r="O148" s="46"/>
      <c r="P148" s="46"/>
      <c r="Q148" s="46"/>
      <c r="R148" s="46"/>
      <c r="S148" s="46"/>
      <c r="T148" s="46"/>
      <c r="U148" s="46"/>
    </row>
    <row r="149" spans="1:21">
      <c r="A149" s="46"/>
      <c r="B149" s="46"/>
      <c r="C149" s="46"/>
      <c r="D149" s="46"/>
      <c r="E149" s="46"/>
      <c r="F149" s="46"/>
      <c r="G149" s="46"/>
      <c r="H149" s="46"/>
      <c r="I149" s="46"/>
      <c r="J149" s="46"/>
      <c r="K149" s="46"/>
      <c r="L149" s="46"/>
      <c r="M149" s="46"/>
      <c r="N149" s="46"/>
      <c r="O149" s="46"/>
      <c r="P149" s="46"/>
      <c r="Q149" s="46"/>
      <c r="R149" s="46"/>
      <c r="S149" s="46"/>
      <c r="T149" s="46"/>
      <c r="U149" s="46"/>
    </row>
    <row r="150" spans="1:21">
      <c r="A150" s="46"/>
      <c r="B150" s="46"/>
      <c r="C150" s="46"/>
      <c r="D150" s="46"/>
      <c r="E150" s="46"/>
      <c r="F150" s="46"/>
      <c r="G150" s="46"/>
      <c r="H150" s="46"/>
      <c r="I150" s="46"/>
      <c r="J150" s="46"/>
      <c r="K150" s="46"/>
      <c r="L150" s="46"/>
      <c r="M150" s="46"/>
      <c r="N150" s="46"/>
      <c r="O150" s="46"/>
      <c r="P150" s="46"/>
      <c r="Q150" s="46"/>
      <c r="R150" s="46"/>
      <c r="S150" s="46"/>
      <c r="T150" s="46"/>
      <c r="U150" s="46"/>
    </row>
    <row r="151" spans="1:21">
      <c r="A151" s="46"/>
      <c r="B151" s="46"/>
      <c r="C151" s="46"/>
      <c r="D151" s="46"/>
      <c r="E151" s="46"/>
      <c r="F151" s="46"/>
      <c r="G151" s="46"/>
      <c r="H151" s="46"/>
      <c r="I151" s="46"/>
      <c r="J151" s="46"/>
      <c r="K151" s="46"/>
      <c r="L151" s="46"/>
      <c r="M151" s="46"/>
      <c r="N151" s="46"/>
      <c r="O151" s="46"/>
      <c r="P151" s="46"/>
      <c r="Q151" s="46"/>
      <c r="R151" s="46"/>
      <c r="S151" s="46"/>
      <c r="T151" s="46"/>
      <c r="U151" s="46"/>
    </row>
    <row r="152" spans="1:21">
      <c r="A152" s="46"/>
      <c r="B152" s="46"/>
      <c r="C152" s="46"/>
      <c r="D152" s="46"/>
      <c r="E152" s="46"/>
      <c r="F152" s="46"/>
      <c r="G152" s="46"/>
      <c r="H152" s="46"/>
      <c r="I152" s="46"/>
      <c r="J152" s="46"/>
      <c r="K152" s="46"/>
      <c r="L152" s="46"/>
      <c r="M152" s="46"/>
      <c r="N152" s="46"/>
      <c r="O152" s="46"/>
      <c r="P152" s="46"/>
      <c r="Q152" s="46"/>
      <c r="R152" s="46"/>
      <c r="S152" s="46"/>
      <c r="T152" s="46"/>
      <c r="U152" s="46"/>
    </row>
    <row r="153" spans="1:21">
      <c r="A153" s="46"/>
      <c r="B153" s="46"/>
      <c r="C153" s="46"/>
      <c r="D153" s="46"/>
      <c r="E153" s="46"/>
      <c r="F153" s="46"/>
      <c r="G153" s="46"/>
      <c r="H153" s="46"/>
      <c r="I153" s="46"/>
      <c r="J153" s="46"/>
      <c r="K153" s="46"/>
      <c r="L153" s="46"/>
      <c r="M153" s="46"/>
      <c r="N153" s="46"/>
      <c r="O153" s="46"/>
      <c r="P153" s="46"/>
      <c r="Q153" s="46"/>
      <c r="R153" s="46"/>
      <c r="S153" s="46"/>
      <c r="T153" s="46"/>
      <c r="U153" s="46"/>
    </row>
    <row r="154" spans="1:21">
      <c r="A154" s="46"/>
      <c r="B154" s="46"/>
      <c r="C154" s="46"/>
      <c r="D154" s="46"/>
      <c r="E154" s="46"/>
      <c r="F154" s="46"/>
      <c r="G154" s="46"/>
      <c r="H154" s="46"/>
      <c r="I154" s="46"/>
      <c r="J154" s="46"/>
      <c r="K154" s="46"/>
      <c r="L154" s="46"/>
      <c r="M154" s="46"/>
      <c r="N154" s="46"/>
      <c r="O154" s="46"/>
      <c r="P154" s="46"/>
      <c r="Q154" s="46"/>
      <c r="R154" s="46"/>
      <c r="S154" s="46"/>
      <c r="T154" s="46"/>
      <c r="U154" s="46"/>
    </row>
    <row r="155" spans="1:21">
      <c r="A155" s="46"/>
      <c r="B155" s="46"/>
      <c r="C155" s="46"/>
      <c r="D155" s="46"/>
      <c r="E155" s="46"/>
      <c r="F155" s="46"/>
      <c r="G155" s="46"/>
      <c r="H155" s="46"/>
      <c r="I155" s="46"/>
      <c r="J155" s="46"/>
      <c r="K155" s="46"/>
      <c r="L155" s="46"/>
      <c r="M155" s="46"/>
      <c r="N155" s="46"/>
      <c r="O155" s="46"/>
      <c r="P155" s="46"/>
      <c r="Q155" s="46"/>
      <c r="R155" s="46"/>
      <c r="S155" s="46"/>
      <c r="T155" s="46"/>
      <c r="U155" s="46"/>
    </row>
    <row r="156" spans="1:21">
      <c r="A156" s="46"/>
      <c r="B156" s="46"/>
      <c r="C156" s="46"/>
      <c r="D156" s="46"/>
      <c r="E156" s="46"/>
      <c r="F156" s="46"/>
      <c r="G156" s="46"/>
      <c r="H156" s="46"/>
      <c r="I156" s="46"/>
      <c r="J156" s="46"/>
      <c r="K156" s="46"/>
      <c r="L156" s="46"/>
      <c r="M156" s="46"/>
      <c r="N156" s="46"/>
      <c r="O156" s="46"/>
      <c r="P156" s="46"/>
      <c r="Q156" s="46"/>
      <c r="R156" s="46"/>
      <c r="S156" s="46"/>
      <c r="T156" s="46"/>
      <c r="U156" s="46"/>
    </row>
    <row r="157" spans="1:21">
      <c r="A157" s="46"/>
      <c r="B157" s="46"/>
      <c r="C157" s="46"/>
      <c r="D157" s="46"/>
      <c r="E157" s="46"/>
      <c r="F157" s="46"/>
      <c r="G157" s="46"/>
      <c r="H157" s="46"/>
      <c r="I157" s="46"/>
      <c r="J157" s="46"/>
      <c r="K157" s="46"/>
      <c r="L157" s="46"/>
      <c r="M157" s="46"/>
      <c r="N157" s="46"/>
      <c r="O157" s="46"/>
      <c r="P157" s="46"/>
      <c r="Q157" s="46"/>
      <c r="R157" s="46"/>
      <c r="S157" s="46"/>
      <c r="T157" s="46"/>
      <c r="U157" s="46"/>
    </row>
    <row r="158" spans="1:21">
      <c r="A158" s="46"/>
      <c r="B158" s="46"/>
      <c r="C158" s="46"/>
      <c r="D158" s="46"/>
      <c r="E158" s="46"/>
      <c r="F158" s="46"/>
      <c r="G158" s="46"/>
      <c r="H158" s="46"/>
      <c r="I158" s="46"/>
      <c r="J158" s="46"/>
      <c r="K158" s="46"/>
      <c r="L158" s="46"/>
      <c r="M158" s="46"/>
      <c r="N158" s="46"/>
      <c r="O158" s="46"/>
      <c r="P158" s="46"/>
      <c r="Q158" s="46"/>
      <c r="R158" s="46"/>
      <c r="S158" s="46"/>
      <c r="T158" s="46"/>
      <c r="U158" s="46"/>
    </row>
    <row r="159" spans="1:21">
      <c r="A159" s="46"/>
      <c r="B159" s="46"/>
      <c r="C159" s="46"/>
      <c r="D159" s="46"/>
      <c r="E159" s="46"/>
      <c r="F159" s="46"/>
      <c r="G159" s="46"/>
      <c r="H159" s="46"/>
      <c r="I159" s="46"/>
      <c r="J159" s="46"/>
      <c r="K159" s="46"/>
      <c r="L159" s="46"/>
      <c r="M159" s="46"/>
      <c r="N159" s="46"/>
      <c r="O159" s="46"/>
      <c r="P159" s="46"/>
      <c r="Q159" s="46"/>
      <c r="R159" s="46"/>
      <c r="S159" s="46"/>
      <c r="T159" s="46"/>
      <c r="U159" s="46"/>
    </row>
    <row r="160" spans="1:21">
      <c r="A160" s="46"/>
      <c r="B160" s="46"/>
      <c r="C160" s="46"/>
      <c r="D160" s="46"/>
      <c r="E160" s="46"/>
      <c r="F160" s="46"/>
      <c r="G160" s="46"/>
      <c r="H160" s="46"/>
      <c r="I160" s="46"/>
      <c r="J160" s="46"/>
      <c r="K160" s="46"/>
      <c r="L160" s="46"/>
      <c r="M160" s="46"/>
      <c r="N160" s="46"/>
      <c r="O160" s="46"/>
      <c r="P160" s="46"/>
      <c r="Q160" s="46"/>
      <c r="R160" s="46"/>
      <c r="S160" s="46"/>
      <c r="T160" s="46"/>
      <c r="U160" s="46"/>
    </row>
    <row r="161" spans="1:21">
      <c r="A161" s="46"/>
      <c r="B161" s="46"/>
      <c r="C161" s="46"/>
      <c r="D161" s="46"/>
      <c r="E161" s="46"/>
      <c r="F161" s="46"/>
      <c r="G161" s="46"/>
      <c r="H161" s="46"/>
      <c r="I161" s="46"/>
      <c r="J161" s="46"/>
      <c r="K161" s="46"/>
      <c r="L161" s="46"/>
      <c r="M161" s="46"/>
      <c r="N161" s="46"/>
      <c r="O161" s="46"/>
      <c r="P161" s="46"/>
      <c r="Q161" s="46"/>
      <c r="R161" s="46"/>
      <c r="S161" s="46"/>
      <c r="T161" s="46"/>
      <c r="U161" s="46"/>
    </row>
    <row r="162" spans="1:21">
      <c r="A162" s="46"/>
      <c r="B162" s="46"/>
      <c r="C162" s="46"/>
      <c r="D162" s="46"/>
      <c r="E162" s="46"/>
      <c r="F162" s="46"/>
      <c r="G162" s="46"/>
      <c r="H162" s="46"/>
      <c r="I162" s="46"/>
      <c r="J162" s="46"/>
      <c r="K162" s="46"/>
      <c r="L162" s="46"/>
      <c r="M162" s="46"/>
      <c r="N162" s="46"/>
      <c r="O162" s="46"/>
      <c r="P162" s="46"/>
      <c r="Q162" s="46"/>
      <c r="R162" s="46"/>
      <c r="S162" s="46"/>
      <c r="T162" s="46"/>
      <c r="U162" s="46"/>
    </row>
    <row r="163" spans="1:21">
      <c r="A163" s="46"/>
      <c r="B163" s="46"/>
      <c r="C163" s="46"/>
      <c r="D163" s="46"/>
      <c r="E163" s="46"/>
      <c r="F163" s="46"/>
      <c r="G163" s="46"/>
      <c r="H163" s="46"/>
      <c r="I163" s="46"/>
      <c r="J163" s="46"/>
      <c r="K163" s="46"/>
      <c r="L163" s="46"/>
      <c r="M163" s="46"/>
      <c r="N163" s="46"/>
      <c r="O163" s="46"/>
      <c r="P163" s="46"/>
      <c r="Q163" s="46"/>
      <c r="R163" s="46"/>
      <c r="S163" s="46"/>
      <c r="T163" s="46"/>
      <c r="U163" s="46"/>
    </row>
    <row r="164" spans="1:21">
      <c r="A164" s="46"/>
      <c r="B164" s="46"/>
      <c r="C164" s="46"/>
      <c r="D164" s="46"/>
      <c r="E164" s="46"/>
      <c r="F164" s="46"/>
      <c r="G164" s="46"/>
      <c r="H164" s="46"/>
      <c r="I164" s="46"/>
      <c r="J164" s="46"/>
      <c r="K164" s="46"/>
      <c r="L164" s="46"/>
      <c r="M164" s="46"/>
      <c r="N164" s="46"/>
      <c r="O164" s="46"/>
      <c r="P164" s="46"/>
      <c r="Q164" s="46"/>
      <c r="R164" s="46"/>
      <c r="S164" s="46"/>
      <c r="T164" s="46"/>
      <c r="U164" s="46"/>
    </row>
    <row r="165" spans="1:21">
      <c r="A165" s="46"/>
      <c r="B165" s="46"/>
      <c r="C165" s="46"/>
      <c r="D165" s="46"/>
      <c r="E165" s="46"/>
      <c r="F165" s="46"/>
      <c r="G165" s="46"/>
      <c r="H165" s="46"/>
      <c r="I165" s="46"/>
      <c r="J165" s="46"/>
      <c r="K165" s="46"/>
      <c r="L165" s="46"/>
      <c r="M165" s="46"/>
      <c r="N165" s="46"/>
      <c r="O165" s="46"/>
      <c r="P165" s="46"/>
      <c r="Q165" s="46"/>
      <c r="R165" s="46"/>
      <c r="S165" s="46"/>
      <c r="T165" s="46"/>
      <c r="U165" s="46"/>
    </row>
    <row r="166" spans="1:21">
      <c r="A166" s="46"/>
      <c r="B166" s="46"/>
      <c r="C166" s="46"/>
      <c r="D166" s="46"/>
      <c r="E166" s="46"/>
      <c r="F166" s="46"/>
      <c r="G166" s="46"/>
      <c r="H166" s="46"/>
      <c r="I166" s="46"/>
      <c r="J166" s="46"/>
      <c r="K166" s="46"/>
      <c r="L166" s="46"/>
      <c r="M166" s="46"/>
      <c r="N166" s="46"/>
      <c r="O166" s="46"/>
      <c r="P166" s="46"/>
      <c r="Q166" s="46"/>
      <c r="R166" s="46"/>
      <c r="S166" s="46"/>
      <c r="T166" s="46"/>
      <c r="U166" s="46"/>
    </row>
    <row r="167" spans="1:21">
      <c r="A167" s="46"/>
      <c r="B167" s="46"/>
      <c r="C167" s="46"/>
      <c r="D167" s="46"/>
      <c r="E167" s="46"/>
      <c r="F167" s="46"/>
      <c r="G167" s="46"/>
      <c r="H167" s="46"/>
      <c r="I167" s="46"/>
      <c r="J167" s="46"/>
      <c r="K167" s="46"/>
      <c r="L167" s="46"/>
      <c r="M167" s="46"/>
      <c r="N167" s="46"/>
      <c r="O167" s="46"/>
      <c r="P167" s="46"/>
      <c r="Q167" s="46"/>
      <c r="R167" s="46"/>
      <c r="S167" s="46"/>
      <c r="T167" s="46"/>
      <c r="U167" s="46"/>
    </row>
    <row r="168" spans="1:21">
      <c r="A168" s="46"/>
      <c r="B168" s="46"/>
      <c r="C168" s="46"/>
      <c r="D168" s="46"/>
      <c r="E168" s="46"/>
      <c r="F168" s="46"/>
      <c r="G168" s="46"/>
      <c r="H168" s="46"/>
      <c r="I168" s="46"/>
      <c r="J168" s="46"/>
      <c r="K168" s="46"/>
      <c r="L168" s="46"/>
      <c r="M168" s="46"/>
      <c r="N168" s="46"/>
      <c r="O168" s="46"/>
      <c r="P168" s="46"/>
      <c r="Q168" s="46"/>
      <c r="R168" s="46"/>
      <c r="S168" s="46"/>
      <c r="T168" s="46"/>
      <c r="U168" s="46"/>
    </row>
    <row r="169" spans="1:21">
      <c r="A169" s="46"/>
      <c r="B169" s="46"/>
      <c r="C169" s="46"/>
      <c r="D169" s="46"/>
      <c r="E169" s="46"/>
      <c r="F169" s="46"/>
      <c r="G169" s="46"/>
      <c r="H169" s="46"/>
      <c r="I169" s="46"/>
      <c r="J169" s="46"/>
      <c r="K169" s="46"/>
      <c r="L169" s="46"/>
      <c r="M169" s="46"/>
      <c r="N169" s="46"/>
      <c r="O169" s="46"/>
      <c r="P169" s="46"/>
      <c r="Q169" s="46"/>
      <c r="R169" s="46"/>
      <c r="S169" s="46"/>
      <c r="T169" s="46"/>
      <c r="U169" s="46"/>
    </row>
    <row r="170" spans="1:21">
      <c r="A170" s="46"/>
      <c r="B170" s="46"/>
      <c r="C170" s="46"/>
      <c r="D170" s="46"/>
      <c r="E170" s="46"/>
      <c r="F170" s="46"/>
      <c r="G170" s="46"/>
      <c r="H170" s="46"/>
      <c r="I170" s="46"/>
      <c r="J170" s="46"/>
      <c r="K170" s="46"/>
      <c r="L170" s="46"/>
      <c r="M170" s="46"/>
      <c r="N170" s="46"/>
      <c r="O170" s="46"/>
      <c r="P170" s="46"/>
      <c r="Q170" s="46"/>
      <c r="R170" s="46"/>
      <c r="S170" s="46"/>
      <c r="T170" s="46"/>
      <c r="U170" s="46"/>
    </row>
    <row r="171" spans="1:21">
      <c r="A171" s="46"/>
      <c r="B171" s="46"/>
      <c r="C171" s="46"/>
      <c r="D171" s="46"/>
      <c r="E171" s="46"/>
      <c r="F171" s="46"/>
      <c r="G171" s="46"/>
      <c r="H171" s="46"/>
      <c r="I171" s="46"/>
      <c r="J171" s="46"/>
      <c r="K171" s="46"/>
      <c r="L171" s="46"/>
      <c r="M171" s="46"/>
      <c r="N171" s="46"/>
      <c r="O171" s="46"/>
      <c r="P171" s="46"/>
      <c r="Q171" s="46"/>
      <c r="R171" s="46"/>
      <c r="S171" s="46"/>
      <c r="T171" s="46"/>
      <c r="U171" s="46"/>
    </row>
    <row r="172" spans="1:21">
      <c r="A172" s="46"/>
      <c r="B172" s="46"/>
      <c r="C172" s="46"/>
      <c r="D172" s="46"/>
      <c r="E172" s="46"/>
      <c r="F172" s="46"/>
      <c r="G172" s="46"/>
      <c r="H172" s="46"/>
      <c r="I172" s="46"/>
      <c r="J172" s="46"/>
      <c r="K172" s="46"/>
      <c r="L172" s="46"/>
      <c r="M172" s="46"/>
      <c r="N172" s="46"/>
      <c r="O172" s="46"/>
      <c r="P172" s="46"/>
      <c r="Q172" s="46"/>
      <c r="R172" s="46"/>
      <c r="S172" s="46"/>
      <c r="T172" s="46"/>
      <c r="U172" s="46"/>
    </row>
    <row r="173" spans="1:21">
      <c r="A173" s="46"/>
      <c r="B173" s="46"/>
      <c r="C173" s="46"/>
      <c r="D173" s="46"/>
      <c r="E173" s="46"/>
      <c r="F173" s="46"/>
      <c r="G173" s="46"/>
      <c r="H173" s="46"/>
      <c r="I173" s="46"/>
      <c r="J173" s="46"/>
      <c r="K173" s="46"/>
      <c r="L173" s="46"/>
      <c r="M173" s="46"/>
      <c r="N173" s="46"/>
      <c r="O173" s="46"/>
      <c r="P173" s="46"/>
      <c r="Q173" s="46"/>
      <c r="R173" s="46"/>
      <c r="S173" s="46"/>
      <c r="T173" s="46"/>
      <c r="U173" s="46"/>
    </row>
    <row r="174" spans="1:21">
      <c r="A174" s="46"/>
      <c r="B174" s="46"/>
      <c r="C174" s="46"/>
      <c r="D174" s="46"/>
      <c r="E174" s="46"/>
      <c r="F174" s="46"/>
      <c r="G174" s="46"/>
      <c r="H174" s="46"/>
      <c r="I174" s="46"/>
      <c r="J174" s="46"/>
      <c r="K174" s="46"/>
      <c r="L174" s="46"/>
      <c r="M174" s="46"/>
      <c r="N174" s="46"/>
      <c r="O174" s="46"/>
      <c r="P174" s="46"/>
      <c r="Q174" s="46"/>
      <c r="R174" s="46"/>
      <c r="S174" s="46"/>
      <c r="T174" s="46"/>
      <c r="U174" s="46"/>
    </row>
    <row r="175" spans="1:21">
      <c r="A175" s="46"/>
      <c r="B175" s="46"/>
      <c r="C175" s="46"/>
      <c r="D175" s="46"/>
      <c r="E175" s="46"/>
      <c r="F175" s="46"/>
      <c r="G175" s="46"/>
      <c r="H175" s="46"/>
      <c r="I175" s="46"/>
      <c r="J175" s="46"/>
      <c r="K175" s="46"/>
      <c r="L175" s="46"/>
      <c r="M175" s="46"/>
      <c r="N175" s="46"/>
      <c r="O175" s="46"/>
      <c r="P175" s="46"/>
      <c r="Q175" s="46"/>
      <c r="R175" s="46"/>
      <c r="S175" s="46"/>
      <c r="T175" s="46"/>
      <c r="U175" s="46"/>
    </row>
    <row r="176" spans="1:21">
      <c r="A176" s="46"/>
      <c r="B176" s="46"/>
      <c r="C176" s="46"/>
      <c r="D176" s="46"/>
      <c r="E176" s="46"/>
      <c r="F176" s="46"/>
      <c r="G176" s="46"/>
      <c r="H176" s="46"/>
      <c r="I176" s="46"/>
      <c r="J176" s="46"/>
      <c r="K176" s="46"/>
      <c r="L176" s="46"/>
      <c r="M176" s="46"/>
      <c r="N176" s="46"/>
      <c r="O176" s="46"/>
      <c r="P176" s="46"/>
      <c r="Q176" s="46"/>
      <c r="R176" s="46"/>
      <c r="S176" s="46"/>
      <c r="T176" s="46"/>
      <c r="U176" s="46"/>
    </row>
    <row r="177" spans="1:21">
      <c r="A177" s="46"/>
      <c r="B177" s="46"/>
      <c r="C177" s="46"/>
      <c r="D177" s="46"/>
      <c r="E177" s="46"/>
      <c r="F177" s="46"/>
      <c r="G177" s="46"/>
      <c r="H177" s="46"/>
      <c r="I177" s="46"/>
      <c r="J177" s="46"/>
      <c r="K177" s="46"/>
      <c r="L177" s="46"/>
      <c r="M177" s="46"/>
      <c r="N177" s="46"/>
      <c r="O177" s="46"/>
      <c r="P177" s="46"/>
      <c r="Q177" s="46"/>
      <c r="R177" s="46"/>
      <c r="S177" s="46"/>
      <c r="T177" s="46"/>
      <c r="U177" s="46"/>
    </row>
    <row r="178" spans="1:21">
      <c r="A178" s="46"/>
      <c r="B178" s="46"/>
      <c r="C178" s="46"/>
      <c r="D178" s="46"/>
      <c r="E178" s="46"/>
      <c r="F178" s="46"/>
      <c r="G178" s="46"/>
      <c r="H178" s="46"/>
      <c r="I178" s="46"/>
      <c r="J178" s="46"/>
      <c r="K178" s="46"/>
      <c r="L178" s="46"/>
      <c r="M178" s="46"/>
      <c r="N178" s="46"/>
      <c r="O178" s="46"/>
      <c r="P178" s="46"/>
      <c r="Q178" s="46"/>
      <c r="R178" s="46"/>
      <c r="S178" s="46"/>
      <c r="T178" s="46"/>
      <c r="U178" s="46"/>
    </row>
    <row r="179" spans="1:21">
      <c r="A179" s="46"/>
      <c r="B179" s="46"/>
      <c r="C179" s="46"/>
      <c r="D179" s="46"/>
      <c r="E179" s="46"/>
      <c r="F179" s="46"/>
      <c r="G179" s="46"/>
      <c r="H179" s="46"/>
      <c r="I179" s="46"/>
      <c r="J179" s="46"/>
      <c r="K179" s="46"/>
      <c r="L179" s="46"/>
      <c r="M179" s="46"/>
      <c r="N179" s="46"/>
      <c r="O179" s="46"/>
      <c r="P179" s="46"/>
      <c r="Q179" s="46"/>
      <c r="R179" s="46"/>
      <c r="S179" s="46"/>
      <c r="T179" s="46"/>
      <c r="U179" s="46"/>
    </row>
    <row r="180" spans="1:21">
      <c r="A180" s="46"/>
      <c r="B180" s="46"/>
      <c r="C180" s="46"/>
      <c r="D180" s="46"/>
      <c r="E180" s="46"/>
      <c r="F180" s="46"/>
      <c r="G180" s="46"/>
      <c r="H180" s="46"/>
      <c r="I180" s="46"/>
      <c r="J180" s="46"/>
      <c r="K180" s="46"/>
      <c r="L180" s="46"/>
      <c r="M180" s="46"/>
      <c r="N180" s="46"/>
      <c r="O180" s="46"/>
      <c r="P180" s="46"/>
      <c r="Q180" s="46"/>
      <c r="R180" s="46"/>
      <c r="S180" s="46"/>
      <c r="T180" s="46"/>
      <c r="U180" s="46"/>
    </row>
    <row r="181" spans="1:21">
      <c r="A181" s="46"/>
      <c r="B181" s="46"/>
      <c r="C181" s="46"/>
      <c r="D181" s="46"/>
      <c r="E181" s="46"/>
      <c r="F181" s="46"/>
      <c r="G181" s="46"/>
      <c r="H181" s="46"/>
      <c r="I181" s="46"/>
      <c r="J181" s="46"/>
      <c r="K181" s="46"/>
      <c r="L181" s="46"/>
      <c r="M181" s="46"/>
      <c r="N181" s="46"/>
      <c r="O181" s="46"/>
      <c r="P181" s="46"/>
      <c r="Q181" s="46"/>
      <c r="R181" s="46"/>
      <c r="S181" s="46"/>
      <c r="T181" s="46"/>
      <c r="U181" s="46"/>
    </row>
    <row r="182" spans="1:21">
      <c r="A182" s="46"/>
      <c r="B182" s="46"/>
      <c r="C182" s="46"/>
      <c r="D182" s="46"/>
      <c r="E182" s="46"/>
      <c r="F182" s="46"/>
      <c r="G182" s="46"/>
      <c r="H182" s="46"/>
      <c r="I182" s="46"/>
      <c r="J182" s="46"/>
      <c r="K182" s="46"/>
      <c r="L182" s="46"/>
      <c r="M182" s="46"/>
      <c r="N182" s="46"/>
      <c r="O182" s="46"/>
      <c r="P182" s="46"/>
      <c r="Q182" s="46"/>
      <c r="R182" s="46"/>
      <c r="S182" s="46"/>
      <c r="T182" s="46"/>
      <c r="U182" s="46"/>
    </row>
    <row r="183" spans="1:21">
      <c r="A183" s="46"/>
      <c r="B183" s="46"/>
      <c r="C183" s="46"/>
      <c r="D183" s="46"/>
      <c r="E183" s="46"/>
      <c r="F183" s="46"/>
      <c r="G183" s="46"/>
      <c r="H183" s="46"/>
      <c r="I183" s="46"/>
      <c r="J183" s="46"/>
      <c r="K183" s="46"/>
      <c r="L183" s="46"/>
      <c r="M183" s="46"/>
      <c r="N183" s="46"/>
      <c r="O183" s="46"/>
      <c r="P183" s="46"/>
      <c r="Q183" s="46"/>
      <c r="R183" s="46"/>
      <c r="S183" s="46"/>
      <c r="T183" s="46"/>
      <c r="U183" s="46"/>
    </row>
    <row r="184" spans="1:21">
      <c r="A184" s="46"/>
      <c r="B184" s="46"/>
      <c r="C184" s="46"/>
      <c r="D184" s="46"/>
      <c r="E184" s="46"/>
      <c r="F184" s="46"/>
      <c r="G184" s="46"/>
      <c r="H184" s="46"/>
      <c r="I184" s="46"/>
      <c r="J184" s="46"/>
      <c r="K184" s="46"/>
      <c r="L184" s="46"/>
      <c r="M184" s="46"/>
      <c r="N184" s="46"/>
      <c r="O184" s="46"/>
      <c r="P184" s="46"/>
      <c r="Q184" s="46"/>
      <c r="R184" s="46"/>
      <c r="S184" s="46"/>
      <c r="T184" s="46"/>
      <c r="U184" s="46"/>
    </row>
    <row r="185" spans="1:21">
      <c r="A185" s="46"/>
      <c r="B185" s="46"/>
      <c r="C185" s="46"/>
      <c r="D185" s="46"/>
      <c r="E185" s="46"/>
      <c r="F185" s="46"/>
      <c r="G185" s="46"/>
      <c r="H185" s="46"/>
      <c r="I185" s="46"/>
      <c r="J185" s="46"/>
      <c r="K185" s="46"/>
      <c r="L185" s="46"/>
      <c r="M185" s="46"/>
      <c r="N185" s="46"/>
      <c r="O185" s="46"/>
      <c r="P185" s="46"/>
      <c r="Q185" s="46"/>
      <c r="R185" s="46"/>
      <c r="S185" s="46"/>
      <c r="T185" s="46"/>
      <c r="U185" s="46"/>
    </row>
    <row r="186" spans="1:21">
      <c r="A186" s="46"/>
      <c r="B186" s="46"/>
      <c r="C186" s="46"/>
      <c r="D186" s="46"/>
      <c r="E186" s="46"/>
      <c r="F186" s="46"/>
      <c r="G186" s="46"/>
      <c r="H186" s="46"/>
      <c r="I186" s="46"/>
      <c r="J186" s="46"/>
      <c r="K186" s="46"/>
      <c r="L186" s="46"/>
      <c r="M186" s="46"/>
      <c r="N186" s="46"/>
      <c r="O186" s="46"/>
      <c r="P186" s="46"/>
      <c r="Q186" s="46"/>
      <c r="R186" s="46"/>
      <c r="S186" s="46"/>
      <c r="T186" s="46"/>
      <c r="U186" s="46"/>
    </row>
    <row r="187" spans="1:21">
      <c r="A187" s="46"/>
      <c r="B187" s="46"/>
      <c r="C187" s="46"/>
      <c r="D187" s="46"/>
      <c r="E187" s="46"/>
      <c r="F187" s="46"/>
      <c r="G187" s="46"/>
      <c r="H187" s="46"/>
      <c r="I187" s="46"/>
      <c r="J187" s="46"/>
      <c r="K187" s="46"/>
      <c r="L187" s="46"/>
      <c r="M187" s="46"/>
      <c r="N187" s="46"/>
      <c r="O187" s="46"/>
      <c r="P187" s="46"/>
      <c r="Q187" s="46"/>
      <c r="R187" s="46"/>
      <c r="S187" s="46"/>
      <c r="T187" s="46"/>
      <c r="U187" s="46"/>
    </row>
    <row r="188" spans="1:21">
      <c r="A188" s="46"/>
      <c r="B188" s="46"/>
      <c r="C188" s="46"/>
      <c r="D188" s="46"/>
      <c r="E188" s="46"/>
      <c r="F188" s="46"/>
      <c r="G188" s="46"/>
      <c r="H188" s="46"/>
      <c r="I188" s="46"/>
      <c r="J188" s="46"/>
      <c r="K188" s="46"/>
      <c r="L188" s="46"/>
      <c r="M188" s="46"/>
      <c r="N188" s="46"/>
      <c r="O188" s="46"/>
      <c r="P188" s="46"/>
      <c r="Q188" s="46"/>
      <c r="R188" s="46"/>
      <c r="S188" s="46"/>
      <c r="T188" s="46"/>
      <c r="U188" s="46"/>
    </row>
    <row r="189" spans="1:21">
      <c r="A189" s="46"/>
      <c r="B189" s="46"/>
      <c r="C189" s="46"/>
      <c r="D189" s="46"/>
      <c r="E189" s="46"/>
      <c r="F189" s="46"/>
      <c r="G189" s="46"/>
      <c r="H189" s="46"/>
      <c r="I189" s="46"/>
      <c r="J189" s="46"/>
      <c r="K189" s="46"/>
      <c r="L189" s="46"/>
      <c r="M189" s="46"/>
      <c r="N189" s="46"/>
      <c r="O189" s="46"/>
      <c r="P189" s="46"/>
      <c r="Q189" s="46"/>
      <c r="R189" s="46"/>
      <c r="S189" s="46"/>
      <c r="T189" s="46"/>
      <c r="U189" s="46"/>
    </row>
    <row r="190" spans="1:21">
      <c r="A190" s="46"/>
      <c r="B190" s="46"/>
      <c r="C190" s="46"/>
      <c r="D190" s="46"/>
      <c r="E190" s="46"/>
      <c r="F190" s="46"/>
      <c r="G190" s="46"/>
      <c r="H190" s="46"/>
      <c r="I190" s="46"/>
      <c r="J190" s="46"/>
      <c r="K190" s="46"/>
      <c r="L190" s="46"/>
      <c r="M190" s="46"/>
      <c r="N190" s="46"/>
      <c r="O190" s="46"/>
      <c r="P190" s="46"/>
      <c r="Q190" s="46"/>
      <c r="R190" s="46"/>
      <c r="S190" s="46"/>
      <c r="T190" s="46"/>
      <c r="U190" s="46"/>
    </row>
    <row r="191" spans="1:21">
      <c r="A191" s="46"/>
      <c r="B191" s="46"/>
      <c r="C191" s="46"/>
      <c r="D191" s="46"/>
      <c r="E191" s="46"/>
      <c r="F191" s="46"/>
      <c r="G191" s="46"/>
      <c r="H191" s="46"/>
      <c r="I191" s="46"/>
      <c r="J191" s="46"/>
      <c r="K191" s="46"/>
      <c r="L191" s="46"/>
      <c r="M191" s="46"/>
      <c r="N191" s="46"/>
      <c r="O191" s="46"/>
      <c r="P191" s="46"/>
      <c r="Q191" s="46"/>
      <c r="R191" s="46"/>
      <c r="S191" s="46"/>
      <c r="T191" s="46"/>
      <c r="U191" s="46"/>
    </row>
    <row r="192" spans="1:21">
      <c r="A192" s="46"/>
      <c r="B192" s="46"/>
      <c r="C192" s="46"/>
      <c r="D192" s="46"/>
      <c r="E192" s="46"/>
      <c r="F192" s="46"/>
      <c r="G192" s="46"/>
      <c r="H192" s="46"/>
      <c r="I192" s="46"/>
      <c r="J192" s="46"/>
      <c r="K192" s="46"/>
      <c r="L192" s="46"/>
      <c r="M192" s="46"/>
      <c r="N192" s="46"/>
      <c r="O192" s="46"/>
      <c r="P192" s="46"/>
      <c r="Q192" s="46"/>
      <c r="R192" s="46"/>
      <c r="S192" s="46"/>
      <c r="T192" s="46"/>
      <c r="U192" s="46"/>
    </row>
    <row r="193" spans="1:21">
      <c r="A193" s="46"/>
      <c r="B193" s="46"/>
      <c r="C193" s="46"/>
      <c r="D193" s="46"/>
      <c r="E193" s="46"/>
      <c r="F193" s="46"/>
      <c r="G193" s="46"/>
      <c r="H193" s="46"/>
      <c r="I193" s="46"/>
      <c r="J193" s="46"/>
      <c r="K193" s="46"/>
      <c r="L193" s="46"/>
      <c r="M193" s="46"/>
      <c r="N193" s="46"/>
      <c r="O193" s="46"/>
      <c r="P193" s="46"/>
      <c r="Q193" s="46"/>
      <c r="R193" s="46"/>
      <c r="S193" s="46"/>
      <c r="T193" s="46"/>
      <c r="U193" s="46"/>
    </row>
    <row r="194" spans="1:21">
      <c r="A194" s="46"/>
      <c r="B194" s="46"/>
      <c r="C194" s="46"/>
      <c r="D194" s="46"/>
      <c r="E194" s="46"/>
      <c r="F194" s="46"/>
      <c r="G194" s="46"/>
      <c r="H194" s="46"/>
      <c r="I194" s="46"/>
      <c r="J194" s="46"/>
      <c r="K194" s="46"/>
      <c r="L194" s="46"/>
      <c r="M194" s="46"/>
      <c r="N194" s="46"/>
      <c r="O194" s="46"/>
      <c r="P194" s="46"/>
      <c r="Q194" s="46"/>
      <c r="R194" s="46"/>
      <c r="S194" s="46"/>
      <c r="T194" s="46"/>
      <c r="U194" s="46"/>
    </row>
    <row r="195" spans="1:21">
      <c r="A195" s="46"/>
      <c r="B195" s="46"/>
      <c r="C195" s="46"/>
      <c r="D195" s="46"/>
      <c r="E195" s="46"/>
      <c r="F195" s="46"/>
      <c r="G195" s="46"/>
      <c r="H195" s="46"/>
      <c r="I195" s="46"/>
      <c r="J195" s="46"/>
      <c r="K195" s="46"/>
      <c r="L195" s="46"/>
      <c r="M195" s="46"/>
      <c r="N195" s="46"/>
      <c r="O195" s="46"/>
      <c r="P195" s="46"/>
      <c r="Q195" s="46"/>
      <c r="R195" s="46"/>
      <c r="S195" s="46"/>
      <c r="T195" s="46"/>
      <c r="U195" s="46"/>
    </row>
    <row r="196" spans="1:21">
      <c r="A196" s="46"/>
      <c r="B196" s="46"/>
      <c r="C196" s="46"/>
      <c r="D196" s="46"/>
      <c r="E196" s="46"/>
      <c r="F196" s="46"/>
      <c r="G196" s="46"/>
      <c r="H196" s="46"/>
      <c r="I196" s="46"/>
      <c r="J196" s="46"/>
      <c r="K196" s="46"/>
      <c r="L196" s="46"/>
      <c r="M196" s="46"/>
      <c r="N196" s="46"/>
      <c r="O196" s="46"/>
      <c r="P196" s="46"/>
      <c r="Q196" s="46"/>
      <c r="R196" s="46"/>
      <c r="S196" s="46"/>
      <c r="T196" s="46"/>
      <c r="U196" s="46"/>
    </row>
    <row r="197" spans="1:21">
      <c r="A197" s="46"/>
      <c r="B197" s="46"/>
      <c r="C197" s="46"/>
      <c r="D197" s="46"/>
      <c r="E197" s="46"/>
      <c r="F197" s="46"/>
      <c r="G197" s="46"/>
      <c r="H197" s="46"/>
      <c r="I197" s="46"/>
      <c r="J197" s="46"/>
      <c r="K197" s="46"/>
      <c r="L197" s="46"/>
      <c r="M197" s="46"/>
      <c r="N197" s="46"/>
      <c r="O197" s="46"/>
      <c r="P197" s="46"/>
      <c r="Q197" s="46"/>
      <c r="R197" s="46"/>
      <c r="S197" s="46"/>
      <c r="T197" s="46"/>
      <c r="U197" s="46"/>
    </row>
    <row r="198" spans="1:21">
      <c r="A198" s="46"/>
      <c r="B198" s="46"/>
      <c r="C198" s="46"/>
      <c r="D198" s="46"/>
      <c r="E198" s="46"/>
      <c r="F198" s="46"/>
      <c r="G198" s="46"/>
      <c r="H198" s="46"/>
      <c r="I198" s="46"/>
      <c r="J198" s="46"/>
      <c r="K198" s="46"/>
      <c r="L198" s="46"/>
      <c r="M198" s="46"/>
      <c r="N198" s="46"/>
      <c r="O198" s="46"/>
      <c r="P198" s="46"/>
      <c r="Q198" s="46"/>
      <c r="R198" s="46"/>
      <c r="S198" s="46"/>
      <c r="T198" s="46"/>
      <c r="U198" s="46"/>
    </row>
    <row r="199" spans="1:21">
      <c r="A199" s="46"/>
      <c r="B199" s="46"/>
      <c r="C199" s="46"/>
      <c r="D199" s="46"/>
      <c r="E199" s="46"/>
      <c r="F199" s="46"/>
      <c r="G199" s="46"/>
      <c r="H199" s="46"/>
      <c r="I199" s="46"/>
      <c r="J199" s="46"/>
      <c r="K199" s="46"/>
      <c r="L199" s="46"/>
      <c r="M199" s="46"/>
      <c r="N199" s="46"/>
      <c r="O199" s="46"/>
      <c r="P199" s="46"/>
      <c r="Q199" s="46"/>
      <c r="R199" s="46"/>
      <c r="S199" s="46"/>
      <c r="T199" s="46"/>
      <c r="U199" s="46"/>
    </row>
    <row r="200" spans="1:21">
      <c r="A200" s="46"/>
      <c r="B200" s="46"/>
      <c r="C200" s="46"/>
      <c r="D200" s="46"/>
      <c r="E200" s="46"/>
      <c r="F200" s="46"/>
      <c r="G200" s="46"/>
      <c r="H200" s="46"/>
      <c r="I200" s="46"/>
      <c r="J200" s="46"/>
      <c r="K200" s="46"/>
      <c r="L200" s="46"/>
      <c r="M200" s="46"/>
      <c r="N200" s="46"/>
      <c r="O200" s="46"/>
      <c r="P200" s="46"/>
      <c r="Q200" s="46"/>
      <c r="R200" s="46"/>
      <c r="S200" s="46"/>
      <c r="T200" s="46"/>
      <c r="U200" s="46"/>
    </row>
    <row r="201" spans="1:21">
      <c r="A201" s="46"/>
      <c r="B201" s="46"/>
      <c r="C201" s="46"/>
      <c r="D201" s="46"/>
      <c r="E201" s="46"/>
      <c r="F201" s="46"/>
      <c r="G201" s="46"/>
      <c r="H201" s="46"/>
      <c r="I201" s="46"/>
      <c r="J201" s="46"/>
      <c r="K201" s="46"/>
      <c r="L201" s="46"/>
      <c r="M201" s="46"/>
      <c r="N201" s="46"/>
      <c r="O201" s="46"/>
      <c r="P201" s="46"/>
      <c r="Q201" s="46"/>
      <c r="R201" s="46"/>
      <c r="S201" s="46"/>
      <c r="T201" s="46"/>
      <c r="U201" s="46"/>
    </row>
    <row r="202" spans="1:21">
      <c r="A202" s="46"/>
      <c r="B202" s="46"/>
      <c r="C202" s="46"/>
      <c r="D202" s="46"/>
      <c r="E202" s="46"/>
      <c r="F202" s="46"/>
      <c r="G202" s="46"/>
      <c r="H202" s="46"/>
      <c r="I202" s="46"/>
      <c r="J202" s="46"/>
      <c r="K202" s="46"/>
      <c r="L202" s="46"/>
      <c r="M202" s="46"/>
      <c r="N202" s="46"/>
      <c r="O202" s="46"/>
      <c r="P202" s="46"/>
      <c r="Q202" s="46"/>
      <c r="R202" s="46"/>
      <c r="S202" s="46"/>
      <c r="T202" s="46"/>
      <c r="U202" s="46"/>
    </row>
    <row r="203" spans="1:21">
      <c r="A203" s="46"/>
      <c r="B203" s="46"/>
      <c r="C203" s="46"/>
      <c r="D203" s="46"/>
      <c r="E203" s="46"/>
      <c r="F203" s="46"/>
      <c r="G203" s="46"/>
      <c r="H203" s="46"/>
      <c r="I203" s="46"/>
      <c r="J203" s="46"/>
      <c r="K203" s="46"/>
      <c r="L203" s="46"/>
      <c r="M203" s="46"/>
      <c r="N203" s="46"/>
      <c r="O203" s="46"/>
      <c r="P203" s="46"/>
      <c r="Q203" s="46"/>
      <c r="R203" s="46"/>
      <c r="S203" s="46"/>
      <c r="T203" s="46"/>
      <c r="U203" s="46"/>
    </row>
    <row r="204" spans="1:21">
      <c r="A204" s="46"/>
      <c r="B204" s="46"/>
      <c r="C204" s="46"/>
      <c r="D204" s="46"/>
      <c r="E204" s="46"/>
      <c r="F204" s="46"/>
      <c r="G204" s="46"/>
      <c r="H204" s="46"/>
      <c r="I204" s="46"/>
      <c r="J204" s="46"/>
      <c r="K204" s="46"/>
      <c r="L204" s="46"/>
      <c r="M204" s="46"/>
      <c r="N204" s="46"/>
      <c r="O204" s="46"/>
      <c r="P204" s="46"/>
      <c r="Q204" s="46"/>
      <c r="R204" s="46"/>
      <c r="S204" s="46"/>
      <c r="T204" s="46"/>
      <c r="U204" s="46"/>
    </row>
    <row r="205" spans="1:21">
      <c r="A205" s="46"/>
      <c r="B205" s="46"/>
      <c r="C205" s="46"/>
      <c r="D205" s="46"/>
      <c r="E205" s="46"/>
      <c r="F205" s="46"/>
      <c r="G205" s="46"/>
      <c r="H205" s="46"/>
      <c r="I205" s="46"/>
      <c r="J205" s="46"/>
      <c r="K205" s="46"/>
      <c r="L205" s="46"/>
      <c r="M205" s="46"/>
      <c r="N205" s="46"/>
      <c r="O205" s="46"/>
      <c r="P205" s="46"/>
      <c r="Q205" s="46"/>
      <c r="R205" s="46"/>
      <c r="S205" s="46"/>
      <c r="T205" s="46"/>
      <c r="U205" s="46"/>
    </row>
    <row r="206" spans="1:21">
      <c r="A206" s="46"/>
      <c r="B206" s="46"/>
      <c r="C206" s="46"/>
      <c r="D206" s="46"/>
      <c r="E206" s="46"/>
      <c r="F206" s="46"/>
      <c r="G206" s="46"/>
      <c r="H206" s="46"/>
      <c r="I206" s="46"/>
      <c r="J206" s="46"/>
      <c r="K206" s="46"/>
      <c r="L206" s="46"/>
      <c r="M206" s="46"/>
      <c r="N206" s="46"/>
      <c r="O206" s="46"/>
      <c r="P206" s="46"/>
      <c r="Q206" s="46"/>
      <c r="R206" s="46"/>
      <c r="S206" s="46"/>
      <c r="T206" s="46"/>
      <c r="U206" s="46"/>
    </row>
    <row r="207" spans="1:21">
      <c r="A207" s="46"/>
      <c r="B207" s="46"/>
      <c r="C207" s="46"/>
      <c r="D207" s="46"/>
      <c r="E207" s="46"/>
      <c r="F207" s="46"/>
      <c r="G207" s="46"/>
      <c r="H207" s="46"/>
      <c r="I207" s="46"/>
      <c r="J207" s="46"/>
      <c r="K207" s="46"/>
      <c r="L207" s="46"/>
      <c r="M207" s="46"/>
      <c r="N207" s="46"/>
      <c r="O207" s="46"/>
      <c r="P207" s="46"/>
      <c r="Q207" s="46"/>
      <c r="R207" s="46"/>
      <c r="S207" s="46"/>
      <c r="T207" s="46"/>
      <c r="U207" s="46"/>
    </row>
    <row r="208" spans="1:21">
      <c r="A208" s="46"/>
      <c r="B208" s="46"/>
      <c r="C208" s="46"/>
      <c r="D208" s="46"/>
      <c r="E208" s="46"/>
      <c r="F208" s="46"/>
      <c r="G208" s="46"/>
      <c r="H208" s="46"/>
      <c r="I208" s="46"/>
      <c r="J208" s="46"/>
      <c r="K208" s="46"/>
      <c r="L208" s="46"/>
      <c r="M208" s="46"/>
      <c r="N208" s="46"/>
      <c r="O208" s="46"/>
      <c r="P208" s="46"/>
      <c r="Q208" s="46"/>
      <c r="R208" s="46"/>
      <c r="S208" s="46"/>
      <c r="T208" s="46"/>
      <c r="U208" s="46"/>
    </row>
    <row r="209" spans="1:21">
      <c r="A209" s="46"/>
      <c r="B209" s="46"/>
      <c r="C209" s="46"/>
      <c r="D209" s="46"/>
      <c r="E209" s="46"/>
      <c r="F209" s="46"/>
      <c r="G209" s="46"/>
      <c r="H209" s="46"/>
      <c r="I209" s="46"/>
      <c r="J209" s="46"/>
      <c r="K209" s="46"/>
      <c r="L209" s="46"/>
      <c r="M209" s="46"/>
      <c r="N209" s="46"/>
      <c r="O209" s="46"/>
      <c r="P209" s="46"/>
      <c r="Q209" s="46"/>
      <c r="R209" s="46"/>
      <c r="S209" s="46"/>
      <c r="T209" s="46"/>
      <c r="U209" s="46"/>
    </row>
    <row r="210" spans="1:21">
      <c r="A210" s="46"/>
      <c r="B210" s="46"/>
      <c r="C210" s="46"/>
      <c r="D210" s="46"/>
      <c r="E210" s="46"/>
      <c r="F210" s="46"/>
      <c r="G210" s="46"/>
      <c r="H210" s="46"/>
      <c r="I210" s="46"/>
      <c r="J210" s="46"/>
      <c r="K210" s="46"/>
      <c r="L210" s="46"/>
      <c r="M210" s="46"/>
      <c r="N210" s="46"/>
      <c r="O210" s="46"/>
      <c r="P210" s="46"/>
      <c r="Q210" s="46"/>
      <c r="R210" s="46"/>
      <c r="S210" s="46"/>
      <c r="T210" s="46"/>
      <c r="U210" s="46"/>
    </row>
    <row r="211" spans="1:21">
      <c r="A211" s="46"/>
      <c r="B211" s="46"/>
      <c r="C211" s="46"/>
      <c r="D211" s="46"/>
      <c r="E211" s="46"/>
      <c r="F211" s="46"/>
      <c r="G211" s="46"/>
      <c r="H211" s="46"/>
      <c r="I211" s="46"/>
      <c r="J211" s="46"/>
      <c r="K211" s="46"/>
      <c r="L211" s="46"/>
      <c r="M211" s="46"/>
      <c r="N211" s="46"/>
      <c r="O211" s="46"/>
      <c r="P211" s="46"/>
      <c r="Q211" s="46"/>
      <c r="R211" s="46"/>
      <c r="S211" s="46"/>
      <c r="T211" s="46"/>
      <c r="U211" s="46"/>
    </row>
    <row r="212" spans="1:21">
      <c r="A212" s="46"/>
      <c r="B212" s="46"/>
      <c r="C212" s="46"/>
      <c r="D212" s="46"/>
      <c r="E212" s="46"/>
      <c r="F212" s="46"/>
      <c r="G212" s="46"/>
      <c r="H212" s="46"/>
      <c r="I212" s="46"/>
      <c r="J212" s="46"/>
      <c r="K212" s="46"/>
      <c r="L212" s="46"/>
      <c r="M212" s="46"/>
      <c r="N212" s="46"/>
      <c r="O212" s="46"/>
      <c r="P212" s="46"/>
      <c r="Q212" s="46"/>
      <c r="R212" s="46"/>
      <c r="S212" s="46"/>
      <c r="T212" s="46"/>
      <c r="U212" s="46"/>
    </row>
    <row r="213" spans="1:21">
      <c r="A213" s="46"/>
      <c r="B213" s="46"/>
      <c r="C213" s="46"/>
      <c r="D213" s="46"/>
      <c r="E213" s="46"/>
      <c r="F213" s="46"/>
      <c r="G213" s="46"/>
      <c r="H213" s="46"/>
      <c r="I213" s="46"/>
      <c r="J213" s="46"/>
      <c r="K213" s="46"/>
      <c r="L213" s="46"/>
      <c r="M213" s="46"/>
      <c r="N213" s="46"/>
      <c r="O213" s="46"/>
      <c r="P213" s="46"/>
      <c r="Q213" s="46"/>
      <c r="R213" s="46"/>
      <c r="S213" s="46"/>
      <c r="T213" s="46"/>
      <c r="U213" s="46"/>
    </row>
    <row r="214" spans="1:21">
      <c r="A214" s="46"/>
      <c r="B214" s="46"/>
      <c r="C214" s="46"/>
      <c r="D214" s="46"/>
      <c r="E214" s="46"/>
      <c r="F214" s="46"/>
      <c r="G214" s="46"/>
      <c r="H214" s="46"/>
      <c r="I214" s="46"/>
      <c r="J214" s="46"/>
      <c r="K214" s="46"/>
      <c r="L214" s="46"/>
      <c r="M214" s="46"/>
      <c r="N214" s="46"/>
      <c r="O214" s="46"/>
      <c r="P214" s="46"/>
      <c r="Q214" s="46"/>
      <c r="R214" s="46"/>
      <c r="S214" s="46"/>
      <c r="T214" s="46"/>
      <c r="U214" s="46"/>
    </row>
    <row r="215" spans="1:21">
      <c r="A215" s="46"/>
      <c r="B215" s="46"/>
      <c r="C215" s="46"/>
      <c r="D215" s="46"/>
      <c r="E215" s="46"/>
      <c r="F215" s="46"/>
      <c r="G215" s="46"/>
      <c r="H215" s="46"/>
      <c r="I215" s="46"/>
      <c r="J215" s="46"/>
      <c r="K215" s="46"/>
      <c r="L215" s="46"/>
      <c r="M215" s="46"/>
      <c r="N215" s="46"/>
      <c r="O215" s="46"/>
      <c r="P215" s="46"/>
      <c r="Q215" s="46"/>
      <c r="R215" s="46"/>
      <c r="S215" s="46"/>
      <c r="T215" s="46"/>
      <c r="U215" s="46"/>
    </row>
    <row r="216" spans="1:21">
      <c r="A216" s="46"/>
      <c r="B216" s="46"/>
      <c r="C216" s="46"/>
      <c r="D216" s="46"/>
      <c r="E216" s="46"/>
      <c r="F216" s="46"/>
      <c r="G216" s="46"/>
      <c r="H216" s="46"/>
      <c r="I216" s="46"/>
      <c r="J216" s="46"/>
      <c r="K216" s="46"/>
      <c r="L216" s="46"/>
      <c r="M216" s="46"/>
      <c r="N216" s="46"/>
      <c r="O216" s="46"/>
      <c r="P216" s="46"/>
      <c r="Q216" s="46"/>
      <c r="R216" s="46"/>
      <c r="S216" s="46"/>
      <c r="T216" s="46"/>
      <c r="U216" s="46"/>
    </row>
    <row r="217" spans="1:21">
      <c r="A217" s="46"/>
      <c r="B217" s="46"/>
      <c r="C217" s="46"/>
      <c r="D217" s="46"/>
      <c r="E217" s="46"/>
      <c r="F217" s="46"/>
      <c r="G217" s="46"/>
      <c r="H217" s="46"/>
      <c r="I217" s="46"/>
      <c r="J217" s="46"/>
      <c r="K217" s="46"/>
      <c r="L217" s="46"/>
      <c r="M217" s="46"/>
      <c r="N217" s="46"/>
      <c r="O217" s="46"/>
      <c r="P217" s="46"/>
      <c r="Q217" s="46"/>
      <c r="R217" s="46"/>
      <c r="S217" s="46"/>
      <c r="T217" s="46"/>
      <c r="U217" s="46"/>
    </row>
    <row r="218" spans="1:21">
      <c r="A218" s="46"/>
      <c r="B218" s="46"/>
      <c r="C218" s="46"/>
      <c r="D218" s="46"/>
      <c r="E218" s="46"/>
      <c r="F218" s="46"/>
      <c r="G218" s="46"/>
      <c r="H218" s="46"/>
      <c r="I218" s="46"/>
      <c r="J218" s="46"/>
      <c r="K218" s="46"/>
      <c r="L218" s="46"/>
      <c r="M218" s="46"/>
      <c r="N218" s="46"/>
      <c r="O218" s="46"/>
      <c r="P218" s="46"/>
      <c r="Q218" s="46"/>
      <c r="R218" s="46"/>
      <c r="S218" s="46"/>
      <c r="T218" s="46"/>
      <c r="U218" s="46"/>
    </row>
    <row r="219" spans="1:21">
      <c r="A219" s="46"/>
      <c r="B219" s="46"/>
      <c r="C219" s="46"/>
      <c r="D219" s="46"/>
      <c r="E219" s="46"/>
      <c r="F219" s="46"/>
      <c r="G219" s="46"/>
      <c r="H219" s="46"/>
      <c r="I219" s="46"/>
      <c r="J219" s="46"/>
      <c r="K219" s="46"/>
      <c r="L219" s="46"/>
      <c r="M219" s="46"/>
      <c r="N219" s="46"/>
      <c r="O219" s="46"/>
      <c r="P219" s="46"/>
      <c r="Q219" s="46"/>
      <c r="R219" s="46"/>
      <c r="S219" s="46"/>
      <c r="T219" s="46"/>
      <c r="U219" s="46"/>
    </row>
    <row r="220" spans="1:21">
      <c r="A220" s="46"/>
      <c r="B220" s="46"/>
      <c r="C220" s="46"/>
      <c r="D220" s="46"/>
      <c r="E220" s="46"/>
      <c r="F220" s="46"/>
      <c r="G220" s="46"/>
      <c r="H220" s="46"/>
      <c r="I220" s="46"/>
      <c r="J220" s="46"/>
      <c r="K220" s="46"/>
      <c r="L220" s="46"/>
      <c r="M220" s="46"/>
      <c r="N220" s="46"/>
      <c r="O220" s="46"/>
      <c r="P220" s="46"/>
      <c r="Q220" s="46"/>
      <c r="R220" s="46"/>
      <c r="S220" s="46"/>
      <c r="T220" s="46"/>
      <c r="U220" s="46"/>
    </row>
    <row r="221" spans="1:21">
      <c r="A221" s="46"/>
      <c r="B221" s="46"/>
      <c r="C221" s="46"/>
      <c r="D221" s="46"/>
      <c r="E221" s="46"/>
      <c r="F221" s="46"/>
      <c r="G221" s="46"/>
      <c r="H221" s="46"/>
      <c r="I221" s="46"/>
      <c r="J221" s="46"/>
      <c r="K221" s="46"/>
      <c r="L221" s="46"/>
      <c r="M221" s="46"/>
      <c r="N221" s="46"/>
      <c r="O221" s="46"/>
      <c r="P221" s="46"/>
      <c r="Q221" s="46"/>
      <c r="R221" s="46"/>
      <c r="S221" s="46"/>
      <c r="T221" s="46"/>
      <c r="U221" s="46"/>
    </row>
    <row r="222" spans="1:21">
      <c r="A222" s="46"/>
      <c r="B222" s="46"/>
      <c r="C222" s="46"/>
      <c r="D222" s="46"/>
      <c r="E222" s="46"/>
      <c r="F222" s="46"/>
      <c r="G222" s="46"/>
      <c r="H222" s="46"/>
      <c r="I222" s="46"/>
      <c r="J222" s="46"/>
      <c r="K222" s="46"/>
      <c r="L222" s="46"/>
      <c r="M222" s="46"/>
      <c r="N222" s="46"/>
      <c r="O222" s="46"/>
      <c r="P222" s="46"/>
      <c r="Q222" s="46"/>
      <c r="R222" s="46"/>
      <c r="S222" s="46"/>
      <c r="T222" s="46"/>
      <c r="U222" s="46"/>
    </row>
    <row r="223" spans="1:21">
      <c r="A223" s="46"/>
      <c r="B223" s="46"/>
      <c r="C223" s="46"/>
      <c r="D223" s="46"/>
      <c r="E223" s="46"/>
      <c r="F223" s="46"/>
      <c r="G223" s="46"/>
      <c r="H223" s="46"/>
      <c r="I223" s="46"/>
      <c r="J223" s="46"/>
      <c r="K223" s="46"/>
      <c r="L223" s="46"/>
      <c r="M223" s="46"/>
      <c r="N223" s="46"/>
      <c r="O223" s="46"/>
      <c r="P223" s="46"/>
      <c r="Q223" s="46"/>
      <c r="R223" s="46"/>
      <c r="S223" s="46"/>
      <c r="T223" s="46"/>
      <c r="U223" s="46"/>
    </row>
    <row r="224" spans="1:21">
      <c r="A224" s="46"/>
      <c r="B224" s="46"/>
      <c r="C224" s="46"/>
      <c r="D224" s="46"/>
      <c r="E224" s="46"/>
      <c r="F224" s="46"/>
      <c r="G224" s="46"/>
      <c r="H224" s="46"/>
      <c r="I224" s="46"/>
      <c r="J224" s="46"/>
      <c r="K224" s="46"/>
      <c r="L224" s="46"/>
      <c r="M224" s="46"/>
      <c r="N224" s="46"/>
      <c r="O224" s="46"/>
      <c r="P224" s="46"/>
      <c r="Q224" s="46"/>
      <c r="R224" s="46"/>
      <c r="S224" s="46"/>
      <c r="T224" s="46"/>
      <c r="U224" s="46"/>
    </row>
    <row r="225" spans="1:21">
      <c r="A225" s="46"/>
      <c r="B225" s="46"/>
      <c r="C225" s="46"/>
      <c r="D225" s="46"/>
      <c r="E225" s="46"/>
      <c r="F225" s="46"/>
      <c r="G225" s="46"/>
      <c r="H225" s="46"/>
      <c r="I225" s="46"/>
      <c r="J225" s="46"/>
      <c r="K225" s="46"/>
      <c r="L225" s="46"/>
      <c r="M225" s="46"/>
      <c r="N225" s="46"/>
      <c r="O225" s="46"/>
      <c r="P225" s="46"/>
      <c r="Q225" s="46"/>
      <c r="R225" s="46"/>
      <c r="S225" s="46"/>
      <c r="T225" s="46"/>
      <c r="U225" s="46"/>
    </row>
    <row r="226" spans="1:21">
      <c r="A226" s="46"/>
      <c r="B226" s="46"/>
      <c r="C226" s="46"/>
      <c r="D226" s="46"/>
      <c r="E226" s="46"/>
      <c r="F226" s="46"/>
      <c r="G226" s="46"/>
      <c r="H226" s="46"/>
      <c r="I226" s="46"/>
      <c r="J226" s="46"/>
      <c r="K226" s="46"/>
      <c r="L226" s="46"/>
      <c r="M226" s="46"/>
      <c r="N226" s="46"/>
      <c r="O226" s="46"/>
      <c r="P226" s="46"/>
      <c r="Q226" s="46"/>
      <c r="R226" s="46"/>
      <c r="S226" s="46"/>
      <c r="T226" s="46"/>
      <c r="U226" s="46"/>
    </row>
    <row r="227" spans="1:21">
      <c r="A227" s="46"/>
      <c r="B227" s="46"/>
      <c r="C227" s="46"/>
      <c r="D227" s="46"/>
      <c r="E227" s="46"/>
      <c r="F227" s="46"/>
      <c r="G227" s="46"/>
      <c r="H227" s="46"/>
      <c r="I227" s="46"/>
      <c r="J227" s="46"/>
      <c r="K227" s="46"/>
      <c r="L227" s="46"/>
      <c r="M227" s="46"/>
      <c r="N227" s="46"/>
      <c r="O227" s="46"/>
      <c r="P227" s="46"/>
      <c r="Q227" s="46"/>
      <c r="R227" s="46"/>
      <c r="S227" s="46"/>
      <c r="T227" s="46"/>
      <c r="U227" s="46"/>
    </row>
    <row r="228" spans="1:21">
      <c r="A228" s="46"/>
      <c r="B228" s="46"/>
      <c r="C228" s="46"/>
      <c r="D228" s="46"/>
      <c r="E228" s="46"/>
      <c r="F228" s="46"/>
      <c r="G228" s="46"/>
      <c r="H228" s="46"/>
      <c r="I228" s="46"/>
      <c r="J228" s="46"/>
      <c r="K228" s="46"/>
      <c r="L228" s="46"/>
      <c r="M228" s="46"/>
      <c r="N228" s="46"/>
      <c r="O228" s="46"/>
      <c r="P228" s="46"/>
      <c r="Q228" s="46"/>
      <c r="R228" s="46"/>
      <c r="S228" s="46"/>
      <c r="T228" s="46"/>
      <c r="U228" s="46"/>
    </row>
    <row r="229" spans="1:21">
      <c r="A229" s="46"/>
      <c r="B229" s="46"/>
      <c r="C229" s="46"/>
      <c r="D229" s="46"/>
      <c r="E229" s="46"/>
      <c r="F229" s="46"/>
      <c r="G229" s="46"/>
      <c r="H229" s="46"/>
      <c r="I229" s="46"/>
      <c r="J229" s="46"/>
      <c r="K229" s="46"/>
      <c r="L229" s="46"/>
      <c r="M229" s="46"/>
      <c r="N229" s="46"/>
      <c r="O229" s="46"/>
      <c r="P229" s="46"/>
      <c r="Q229" s="46"/>
      <c r="R229" s="46"/>
      <c r="S229" s="46"/>
      <c r="T229" s="46"/>
      <c r="U229" s="46"/>
    </row>
    <row r="230" spans="1:21">
      <c r="A230" s="46"/>
      <c r="B230" s="46"/>
      <c r="C230" s="46"/>
      <c r="D230" s="46"/>
      <c r="E230" s="46"/>
      <c r="F230" s="46"/>
      <c r="G230" s="46"/>
      <c r="H230" s="46"/>
      <c r="I230" s="46"/>
      <c r="J230" s="46"/>
      <c r="K230" s="46"/>
      <c r="L230" s="46"/>
      <c r="M230" s="46"/>
      <c r="N230" s="46"/>
      <c r="O230" s="46"/>
      <c r="P230" s="46"/>
      <c r="Q230" s="46"/>
      <c r="R230" s="46"/>
      <c r="S230" s="46"/>
      <c r="T230" s="46"/>
      <c r="U230" s="46"/>
    </row>
    <row r="231" spans="1:21">
      <c r="A231" s="46"/>
      <c r="B231" s="46"/>
      <c r="C231" s="46"/>
      <c r="D231" s="46"/>
      <c r="E231" s="46"/>
      <c r="F231" s="46"/>
      <c r="G231" s="46"/>
      <c r="H231" s="46"/>
      <c r="I231" s="46"/>
      <c r="J231" s="46"/>
      <c r="K231" s="46"/>
      <c r="L231" s="46"/>
      <c r="M231" s="46"/>
      <c r="N231" s="46"/>
      <c r="O231" s="46"/>
      <c r="P231" s="46"/>
      <c r="Q231" s="46"/>
      <c r="R231" s="46"/>
      <c r="S231" s="46"/>
      <c r="T231" s="46"/>
      <c r="U231" s="46"/>
    </row>
    <row r="232" spans="1:21">
      <c r="A232" s="46"/>
      <c r="B232" s="46"/>
      <c r="C232" s="46"/>
      <c r="D232" s="46"/>
      <c r="E232" s="46"/>
      <c r="F232" s="46"/>
      <c r="G232" s="46"/>
      <c r="H232" s="46"/>
      <c r="I232" s="46"/>
      <c r="J232" s="46"/>
      <c r="K232" s="46"/>
      <c r="L232" s="46"/>
      <c r="M232" s="46"/>
      <c r="N232" s="46"/>
      <c r="O232" s="46"/>
      <c r="P232" s="46"/>
      <c r="Q232" s="46"/>
      <c r="R232" s="46"/>
      <c r="S232" s="46"/>
      <c r="T232" s="46"/>
      <c r="U232" s="46"/>
    </row>
    <row r="233" spans="1:21">
      <c r="A233" s="46"/>
      <c r="B233" s="46"/>
      <c r="C233" s="46"/>
      <c r="D233" s="46"/>
      <c r="E233" s="46"/>
      <c r="F233" s="46"/>
      <c r="G233" s="46"/>
      <c r="H233" s="46"/>
      <c r="I233" s="46"/>
      <c r="J233" s="46"/>
      <c r="K233" s="46"/>
      <c r="L233" s="46"/>
      <c r="M233" s="46"/>
      <c r="N233" s="46"/>
      <c r="O233" s="46"/>
      <c r="P233" s="46"/>
      <c r="Q233" s="46"/>
      <c r="R233" s="46"/>
      <c r="S233" s="46"/>
      <c r="T233" s="46"/>
      <c r="U233" s="46"/>
    </row>
    <row r="234" spans="1:21">
      <c r="A234" s="46"/>
      <c r="B234" s="46"/>
      <c r="C234" s="46"/>
      <c r="D234" s="46"/>
      <c r="E234" s="46"/>
      <c r="F234" s="46"/>
      <c r="G234" s="46"/>
      <c r="H234" s="46"/>
      <c r="I234" s="46"/>
      <c r="J234" s="46"/>
      <c r="K234" s="46"/>
      <c r="L234" s="46"/>
      <c r="M234" s="46"/>
      <c r="N234" s="46"/>
      <c r="O234" s="46"/>
      <c r="P234" s="46"/>
      <c r="Q234" s="46"/>
      <c r="R234" s="46"/>
      <c r="S234" s="46"/>
      <c r="T234" s="46"/>
      <c r="U234" s="46"/>
    </row>
    <row r="235" spans="1:21">
      <c r="A235" s="46"/>
      <c r="B235" s="46"/>
      <c r="C235" s="46"/>
      <c r="D235" s="46"/>
      <c r="E235" s="46"/>
      <c r="F235" s="46"/>
      <c r="G235" s="46"/>
      <c r="H235" s="46"/>
      <c r="I235" s="46"/>
      <c r="J235" s="46"/>
      <c r="K235" s="46"/>
      <c r="L235" s="46"/>
      <c r="M235" s="46"/>
      <c r="N235" s="46"/>
      <c r="O235" s="46"/>
      <c r="P235" s="46"/>
      <c r="Q235" s="46"/>
      <c r="R235" s="46"/>
      <c r="S235" s="46"/>
      <c r="T235" s="46"/>
      <c r="U235" s="46"/>
    </row>
    <row r="236" spans="1:21">
      <c r="A236" s="46"/>
      <c r="B236" s="46"/>
      <c r="C236" s="46"/>
      <c r="D236" s="46"/>
      <c r="E236" s="46"/>
      <c r="F236" s="46"/>
      <c r="G236" s="46"/>
      <c r="H236" s="46"/>
      <c r="I236" s="46"/>
      <c r="J236" s="46"/>
      <c r="K236" s="46"/>
      <c r="L236" s="46"/>
      <c r="M236" s="46"/>
      <c r="N236" s="46"/>
      <c r="O236" s="46"/>
      <c r="P236" s="46"/>
      <c r="Q236" s="46"/>
      <c r="R236" s="46"/>
      <c r="S236" s="46"/>
      <c r="T236" s="46"/>
      <c r="U236" s="46"/>
    </row>
    <row r="237" spans="1:21">
      <c r="A237" s="46"/>
      <c r="B237" s="46"/>
      <c r="C237" s="46"/>
      <c r="D237" s="46"/>
      <c r="E237" s="46"/>
      <c r="F237" s="46"/>
      <c r="G237" s="46"/>
      <c r="H237" s="46"/>
      <c r="I237" s="46"/>
      <c r="J237" s="46"/>
      <c r="K237" s="46"/>
      <c r="L237" s="46"/>
      <c r="M237" s="46"/>
      <c r="N237" s="46"/>
      <c r="O237" s="46"/>
      <c r="P237" s="46"/>
      <c r="Q237" s="46"/>
      <c r="R237" s="46"/>
      <c r="S237" s="46"/>
      <c r="T237" s="46"/>
      <c r="U237" s="46"/>
    </row>
    <row r="238" spans="1:21">
      <c r="A238" s="46"/>
      <c r="B238" s="46"/>
      <c r="C238" s="46"/>
      <c r="D238" s="46"/>
      <c r="E238" s="46"/>
      <c r="F238" s="46"/>
      <c r="G238" s="46"/>
      <c r="H238" s="46"/>
      <c r="I238" s="46"/>
      <c r="J238" s="46"/>
      <c r="K238" s="46"/>
      <c r="L238" s="46"/>
      <c r="M238" s="46"/>
      <c r="N238" s="46"/>
      <c r="O238" s="46"/>
      <c r="P238" s="46"/>
      <c r="Q238" s="46"/>
      <c r="R238" s="46"/>
      <c r="S238" s="46"/>
      <c r="T238" s="46"/>
      <c r="U238" s="46"/>
    </row>
    <row r="239" spans="1:21">
      <c r="A239" s="46"/>
      <c r="B239" s="46"/>
      <c r="C239" s="46"/>
      <c r="D239" s="46"/>
      <c r="E239" s="46"/>
      <c r="F239" s="46"/>
      <c r="G239" s="46"/>
      <c r="H239" s="46"/>
      <c r="I239" s="46"/>
      <c r="J239" s="46"/>
      <c r="K239" s="46"/>
      <c r="L239" s="46"/>
      <c r="M239" s="46"/>
      <c r="N239" s="46"/>
      <c r="O239" s="46"/>
      <c r="P239" s="46"/>
      <c r="Q239" s="46"/>
      <c r="R239" s="46"/>
      <c r="S239" s="46"/>
      <c r="T239" s="46"/>
      <c r="U239" s="46"/>
    </row>
    <row r="240" spans="1:21">
      <c r="K240" s="46"/>
      <c r="L240" s="46"/>
      <c r="M240" s="46"/>
      <c r="N240" s="46"/>
      <c r="O240" s="46"/>
      <c r="P240" s="46"/>
      <c r="Q240" s="46"/>
      <c r="R240" s="46"/>
      <c r="S240" s="46"/>
      <c r="T240" s="46"/>
      <c r="U240" s="46"/>
    </row>
    <row r="241" spans="11:21">
      <c r="K241" s="46"/>
      <c r="L241" s="46"/>
      <c r="M241" s="46"/>
      <c r="N241" s="46"/>
      <c r="O241" s="46"/>
      <c r="P241" s="46"/>
      <c r="Q241" s="46"/>
      <c r="R241" s="46"/>
      <c r="S241" s="46"/>
      <c r="T241" s="46"/>
      <c r="U241" s="46"/>
    </row>
    <row r="242" spans="11:21">
      <c r="K242" s="46"/>
      <c r="L242" s="46"/>
      <c r="M242" s="46"/>
      <c r="N242" s="46"/>
      <c r="O242" s="46"/>
      <c r="P242" s="46"/>
      <c r="Q242" s="46"/>
      <c r="R242" s="46"/>
      <c r="S242" s="46"/>
      <c r="T242" s="46"/>
      <c r="U242" s="46"/>
    </row>
    <row r="243" spans="11:21">
      <c r="K243" s="46"/>
      <c r="L243" s="46"/>
      <c r="M243" s="46"/>
      <c r="N243" s="46"/>
      <c r="O243" s="46"/>
      <c r="P243" s="46"/>
      <c r="Q243" s="46"/>
      <c r="R243" s="46"/>
      <c r="S243" s="46"/>
      <c r="T243" s="46"/>
      <c r="U243" s="46"/>
    </row>
    <row r="244" spans="11:21">
      <c r="K244" s="46"/>
      <c r="L244" s="46"/>
      <c r="M244" s="46"/>
      <c r="N244" s="46"/>
      <c r="O244" s="46"/>
      <c r="P244" s="46"/>
      <c r="Q244" s="46"/>
      <c r="R244" s="46"/>
      <c r="S244" s="46"/>
      <c r="T244" s="46"/>
      <c r="U244" s="46"/>
    </row>
    <row r="245" spans="11:21">
      <c r="K245" s="46"/>
      <c r="L245" s="46"/>
      <c r="M245" s="46"/>
      <c r="N245" s="46"/>
      <c r="O245" s="46"/>
      <c r="P245" s="46"/>
      <c r="Q245" s="46"/>
      <c r="R245" s="46"/>
      <c r="S245" s="46"/>
      <c r="T245" s="46"/>
      <c r="U245" s="46"/>
    </row>
    <row r="246" spans="11:21">
      <c r="K246" s="46"/>
      <c r="L246" s="46"/>
      <c r="M246" s="46"/>
      <c r="N246" s="46"/>
      <c r="O246" s="46"/>
      <c r="P246" s="46"/>
      <c r="Q246" s="46"/>
      <c r="R246" s="46"/>
      <c r="S246" s="46"/>
      <c r="T246" s="46"/>
      <c r="U246" s="46"/>
    </row>
    <row r="247" spans="11:21">
      <c r="K247" s="46"/>
      <c r="L247" s="46"/>
      <c r="M247" s="46"/>
      <c r="N247" s="46"/>
      <c r="O247" s="46"/>
      <c r="P247" s="46"/>
      <c r="Q247" s="46"/>
      <c r="R247" s="46"/>
      <c r="S247" s="46"/>
      <c r="T247" s="46"/>
      <c r="U247" s="46"/>
    </row>
    <row r="248" spans="11:21">
      <c r="K248" s="46"/>
      <c r="L248" s="46"/>
      <c r="M248" s="46"/>
      <c r="N248" s="46"/>
      <c r="O248" s="46"/>
      <c r="P248" s="46"/>
      <c r="Q248" s="46"/>
      <c r="R248" s="46"/>
      <c r="S248" s="46"/>
      <c r="T248" s="46"/>
      <c r="U248" s="46"/>
    </row>
    <row r="249" spans="11:21">
      <c r="K249" s="46"/>
      <c r="L249" s="46"/>
      <c r="M249" s="46"/>
      <c r="N249" s="46"/>
      <c r="O249" s="46"/>
      <c r="P249" s="46"/>
      <c r="Q249" s="46"/>
      <c r="R249" s="46"/>
      <c r="S249" s="46"/>
      <c r="T249" s="46"/>
      <c r="U249" s="46"/>
    </row>
    <row r="250" spans="11:21">
      <c r="K250" s="46"/>
      <c r="L250" s="46"/>
      <c r="M250" s="46"/>
      <c r="N250" s="46"/>
      <c r="O250" s="46"/>
      <c r="P250" s="46"/>
      <c r="Q250" s="46"/>
      <c r="R250" s="46"/>
      <c r="S250" s="46"/>
      <c r="T250" s="46"/>
      <c r="U250" s="46"/>
    </row>
    <row r="251" spans="11:21">
      <c r="K251" s="46"/>
      <c r="L251" s="46"/>
      <c r="M251" s="46"/>
      <c r="N251" s="46"/>
      <c r="O251" s="46"/>
      <c r="P251" s="46"/>
      <c r="Q251" s="46"/>
      <c r="R251" s="46"/>
      <c r="S251" s="46"/>
      <c r="T251" s="46"/>
      <c r="U251" s="46"/>
    </row>
    <row r="252" spans="11:21">
      <c r="K252" s="46"/>
      <c r="L252" s="46"/>
      <c r="M252" s="46"/>
      <c r="N252" s="46"/>
      <c r="O252" s="46"/>
      <c r="P252" s="46"/>
      <c r="Q252" s="46"/>
      <c r="R252" s="46"/>
      <c r="S252" s="46"/>
      <c r="T252" s="46"/>
      <c r="U252" s="46"/>
    </row>
    <row r="253" spans="11:21">
      <c r="K253" s="46"/>
      <c r="L253" s="46"/>
      <c r="M253" s="46"/>
      <c r="N253" s="46"/>
      <c r="O253" s="46"/>
      <c r="P253" s="46"/>
      <c r="Q253" s="46"/>
      <c r="R253" s="46"/>
      <c r="S253" s="46"/>
      <c r="T253" s="46"/>
      <c r="U253" s="46"/>
    </row>
    <row r="254" spans="11:21">
      <c r="K254" s="46"/>
      <c r="L254" s="46"/>
      <c r="M254" s="46"/>
      <c r="N254" s="46"/>
      <c r="O254" s="46"/>
      <c r="P254" s="46"/>
      <c r="Q254" s="46"/>
      <c r="R254" s="46"/>
      <c r="S254" s="46"/>
      <c r="T254" s="46"/>
      <c r="U254" s="46"/>
    </row>
    <row r="255" spans="11:21">
      <c r="K255" s="46"/>
      <c r="L255" s="46"/>
      <c r="M255" s="46"/>
      <c r="N255" s="46"/>
      <c r="O255" s="46"/>
      <c r="P255" s="46"/>
      <c r="Q255" s="46"/>
      <c r="R255" s="46"/>
      <c r="S255" s="46"/>
      <c r="T255" s="46"/>
      <c r="U255" s="46"/>
    </row>
    <row r="256" spans="11:21">
      <c r="K256" s="46"/>
      <c r="L256" s="46"/>
      <c r="M256" s="46"/>
      <c r="N256" s="46"/>
      <c r="O256" s="46"/>
      <c r="P256" s="46"/>
      <c r="Q256" s="46"/>
      <c r="R256" s="46"/>
      <c r="S256" s="46"/>
      <c r="T256" s="46"/>
      <c r="U256" s="46"/>
    </row>
    <row r="257" spans="11:21">
      <c r="K257" s="46"/>
      <c r="L257" s="46"/>
      <c r="M257" s="46"/>
      <c r="N257" s="46"/>
      <c r="O257" s="46"/>
      <c r="P257" s="46"/>
      <c r="Q257" s="46"/>
      <c r="R257" s="46"/>
      <c r="S257" s="46"/>
      <c r="T257" s="46"/>
      <c r="U257" s="46"/>
    </row>
    <row r="258" spans="11:21">
      <c r="K258" s="46"/>
      <c r="L258" s="46"/>
      <c r="M258" s="46"/>
      <c r="N258" s="46"/>
      <c r="O258" s="46"/>
      <c r="P258" s="46"/>
      <c r="Q258" s="46"/>
      <c r="R258" s="46"/>
      <c r="S258" s="46"/>
      <c r="T258" s="46"/>
      <c r="U258" s="46"/>
    </row>
    <row r="259" spans="11:21">
      <c r="K259" s="46"/>
      <c r="L259" s="46"/>
      <c r="M259" s="46"/>
      <c r="N259" s="46"/>
      <c r="O259" s="46"/>
      <c r="P259" s="46"/>
      <c r="Q259" s="46"/>
      <c r="R259" s="46"/>
      <c r="S259" s="46"/>
      <c r="T259" s="46"/>
      <c r="U259" s="46"/>
    </row>
    <row r="260" spans="11:21">
      <c r="K260" s="46"/>
      <c r="L260" s="46"/>
      <c r="M260" s="46"/>
      <c r="N260" s="46"/>
      <c r="O260" s="46"/>
      <c r="P260" s="46"/>
      <c r="Q260" s="46"/>
      <c r="R260" s="46"/>
      <c r="S260" s="46"/>
      <c r="T260" s="46"/>
      <c r="U260" s="46"/>
    </row>
    <row r="261" spans="11:21">
      <c r="K261" s="46"/>
      <c r="L261" s="46"/>
      <c r="M261" s="46"/>
      <c r="N261" s="46"/>
      <c r="O261" s="46"/>
      <c r="P261" s="46"/>
      <c r="Q261" s="46"/>
      <c r="R261" s="46"/>
      <c r="S261" s="46"/>
      <c r="T261" s="46"/>
      <c r="U261" s="46"/>
    </row>
    <row r="262" spans="11:21">
      <c r="K262" s="46"/>
      <c r="L262" s="46"/>
      <c r="M262" s="46"/>
      <c r="N262" s="46"/>
      <c r="O262" s="46"/>
      <c r="P262" s="46"/>
      <c r="Q262" s="46"/>
      <c r="R262" s="46"/>
      <c r="S262" s="46"/>
      <c r="T262" s="46"/>
      <c r="U262" s="46"/>
    </row>
    <row r="263" spans="11:21">
      <c r="K263" s="46"/>
      <c r="L263" s="46"/>
      <c r="M263" s="46"/>
      <c r="N263" s="46"/>
      <c r="O263" s="46"/>
      <c r="P263" s="46"/>
      <c r="Q263" s="46"/>
      <c r="R263" s="46"/>
      <c r="S263" s="46"/>
      <c r="T263" s="46"/>
      <c r="U263" s="46"/>
    </row>
    <row r="264" spans="11:21">
      <c r="K264" s="46"/>
      <c r="L264" s="46"/>
      <c r="M264" s="46"/>
      <c r="N264" s="46"/>
      <c r="O264" s="46"/>
      <c r="P264" s="46"/>
      <c r="Q264" s="46"/>
      <c r="R264" s="46"/>
      <c r="S264" s="46"/>
      <c r="T264" s="46"/>
      <c r="U264" s="46"/>
    </row>
    <row r="265" spans="11:21">
      <c r="K265" s="46"/>
      <c r="L265" s="46"/>
      <c r="M265" s="46"/>
      <c r="N265" s="46"/>
      <c r="O265" s="46"/>
      <c r="P265" s="46"/>
      <c r="Q265" s="46"/>
      <c r="R265" s="46"/>
      <c r="S265" s="46"/>
      <c r="T265" s="46"/>
      <c r="U265" s="46"/>
    </row>
    <row r="266" spans="11:21">
      <c r="K266" s="46"/>
      <c r="L266" s="46"/>
      <c r="M266" s="46"/>
      <c r="N266" s="46"/>
      <c r="O266" s="46"/>
      <c r="P266" s="46"/>
      <c r="Q266" s="46"/>
      <c r="R266" s="46"/>
      <c r="S266" s="46"/>
      <c r="T266" s="46"/>
      <c r="U266" s="46"/>
    </row>
    <row r="267" spans="11:21">
      <c r="K267" s="46"/>
      <c r="L267" s="46"/>
      <c r="M267" s="46"/>
      <c r="N267" s="46"/>
      <c r="O267" s="46"/>
      <c r="P267" s="46"/>
      <c r="Q267" s="46"/>
      <c r="R267" s="46"/>
      <c r="S267" s="46"/>
      <c r="T267" s="46"/>
      <c r="U267" s="46"/>
    </row>
    <row r="268" spans="11:21">
      <c r="K268" s="46"/>
      <c r="L268" s="46"/>
      <c r="M268" s="46"/>
      <c r="N268" s="46"/>
      <c r="O268" s="46"/>
      <c r="P268" s="46"/>
      <c r="Q268" s="46"/>
      <c r="R268" s="46"/>
      <c r="S268" s="46"/>
      <c r="T268" s="46"/>
      <c r="U268" s="46"/>
    </row>
    <row r="269" spans="11:21">
      <c r="K269" s="46"/>
      <c r="L269" s="46"/>
      <c r="M269" s="46"/>
      <c r="N269" s="46"/>
      <c r="O269" s="46"/>
      <c r="P269" s="46"/>
      <c r="Q269" s="46"/>
      <c r="R269" s="46"/>
      <c r="S269" s="46"/>
      <c r="T269" s="46"/>
      <c r="U269" s="46"/>
    </row>
    <row r="270" spans="11:21">
      <c r="K270" s="46"/>
      <c r="L270" s="46"/>
      <c r="M270" s="46"/>
      <c r="N270" s="46"/>
      <c r="O270" s="46"/>
      <c r="P270" s="46"/>
      <c r="Q270" s="46"/>
      <c r="R270" s="46"/>
      <c r="S270" s="46"/>
      <c r="T270" s="46"/>
      <c r="U270" s="46"/>
    </row>
    <row r="271" spans="11:21">
      <c r="K271" s="46"/>
      <c r="L271" s="46"/>
      <c r="M271" s="46"/>
      <c r="N271" s="46"/>
      <c r="O271" s="46"/>
      <c r="P271" s="46"/>
      <c r="Q271" s="46"/>
      <c r="R271" s="46"/>
      <c r="S271" s="46"/>
      <c r="T271" s="46"/>
      <c r="U271" s="46"/>
    </row>
    <row r="272" spans="11:21">
      <c r="K272" s="46"/>
      <c r="L272" s="46"/>
      <c r="M272" s="46"/>
      <c r="N272" s="46"/>
      <c r="O272" s="46"/>
      <c r="P272" s="46"/>
      <c r="Q272" s="46"/>
      <c r="R272" s="46"/>
      <c r="S272" s="46"/>
      <c r="T272" s="46"/>
      <c r="U272" s="46"/>
    </row>
    <row r="273" spans="11:21">
      <c r="K273" s="46"/>
      <c r="L273" s="46"/>
      <c r="M273" s="46"/>
      <c r="N273" s="46"/>
      <c r="O273" s="46"/>
      <c r="P273" s="46"/>
      <c r="Q273" s="46"/>
      <c r="R273" s="46"/>
      <c r="S273" s="46"/>
      <c r="T273" s="46"/>
      <c r="U273" s="46"/>
    </row>
    <row r="274" spans="11:21">
      <c r="K274" s="46"/>
      <c r="L274" s="46"/>
      <c r="M274" s="46"/>
      <c r="N274" s="46"/>
      <c r="O274" s="46"/>
      <c r="P274" s="46"/>
      <c r="Q274" s="46"/>
      <c r="R274" s="46"/>
      <c r="S274" s="46"/>
      <c r="T274" s="46"/>
      <c r="U274" s="46"/>
    </row>
    <row r="275" spans="11:21">
      <c r="K275" s="46"/>
      <c r="L275" s="46"/>
      <c r="M275" s="46"/>
      <c r="N275" s="46"/>
      <c r="O275" s="46"/>
      <c r="P275" s="46"/>
      <c r="Q275" s="46"/>
      <c r="R275" s="46"/>
      <c r="S275" s="46"/>
      <c r="T275" s="46"/>
      <c r="U275" s="46"/>
    </row>
    <row r="276" spans="11:21">
      <c r="K276" s="46"/>
      <c r="L276" s="46"/>
      <c r="M276" s="46"/>
      <c r="N276" s="46"/>
      <c r="O276" s="46"/>
      <c r="P276" s="46"/>
      <c r="Q276" s="46"/>
      <c r="R276" s="46"/>
      <c r="S276" s="46"/>
      <c r="T276" s="46"/>
      <c r="U276" s="46"/>
    </row>
    <row r="277" spans="11:21">
      <c r="K277" s="46"/>
      <c r="L277" s="46"/>
      <c r="M277" s="46"/>
      <c r="N277" s="46"/>
      <c r="O277" s="46"/>
      <c r="P277" s="46"/>
      <c r="Q277" s="46"/>
      <c r="R277" s="46"/>
      <c r="S277" s="46"/>
      <c r="T277" s="46"/>
      <c r="U277" s="4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09"/>
  <sheetViews>
    <sheetView zoomScaleNormal="100" workbookViewId="0">
      <selection activeCell="H6" sqref="H6"/>
    </sheetView>
  </sheetViews>
  <sheetFormatPr defaultColWidth="9.1796875" defaultRowHeight="14.5"/>
  <cols>
    <col min="1" max="5" width="9.1796875" style="40"/>
    <col min="6" max="6" width="29.7265625" style="40" customWidth="1"/>
    <col min="7" max="7" width="33.453125" style="40" customWidth="1"/>
    <col min="8" max="8" width="15.1796875" style="40" customWidth="1"/>
    <col min="9" max="9" width="23.179687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15" style="40" customWidth="1"/>
    <col min="16" max="16384" width="9.1796875" style="40"/>
  </cols>
  <sheetData>
    <row r="1" spans="1:15">
      <c r="A1" s="46"/>
      <c r="B1" s="7"/>
      <c r="C1" s="8"/>
      <c r="D1" s="8"/>
      <c r="E1" s="8"/>
      <c r="F1" s="8"/>
      <c r="G1" s="8"/>
      <c r="H1" s="8"/>
      <c r="I1" s="8"/>
      <c r="J1" s="8"/>
      <c r="K1" s="8"/>
      <c r="L1" s="8"/>
      <c r="M1" s="8"/>
      <c r="N1" s="8"/>
      <c r="O1" s="9"/>
    </row>
    <row r="2" spans="1:15">
      <c r="A2" s="46"/>
      <c r="B2" s="10"/>
      <c r="C2" s="11"/>
      <c r="D2" s="11"/>
      <c r="E2" s="11"/>
      <c r="F2" s="11"/>
      <c r="G2" s="11"/>
      <c r="H2" s="46" t="s">
        <v>2</v>
      </c>
      <c r="I2" s="11"/>
      <c r="J2" s="11"/>
      <c r="K2" s="11"/>
      <c r="L2" s="11"/>
      <c r="M2" s="11"/>
      <c r="N2" s="11"/>
      <c r="O2" s="12"/>
    </row>
    <row r="3" spans="1:15">
      <c r="A3" s="46"/>
      <c r="B3" s="10"/>
      <c r="C3" s="11"/>
      <c r="D3" s="11"/>
      <c r="E3" s="11"/>
      <c r="F3" s="11"/>
      <c r="G3" s="11"/>
      <c r="H3" s="46" t="s">
        <v>4</v>
      </c>
      <c r="I3" s="11"/>
      <c r="J3" s="11"/>
      <c r="K3" s="11"/>
      <c r="L3" s="11"/>
      <c r="M3" s="11"/>
      <c r="N3" s="11"/>
      <c r="O3" s="12"/>
    </row>
    <row r="4" spans="1:15">
      <c r="A4" s="46"/>
      <c r="B4" s="10"/>
      <c r="C4" s="11"/>
      <c r="D4" s="11"/>
      <c r="E4" s="11"/>
      <c r="F4" s="11"/>
      <c r="G4" s="11"/>
      <c r="H4" s="11"/>
      <c r="I4" s="11"/>
      <c r="J4" s="11"/>
      <c r="K4" s="11"/>
      <c r="L4" s="11"/>
      <c r="M4" s="11"/>
      <c r="N4" s="11"/>
      <c r="O4" s="12"/>
    </row>
    <row r="5" spans="1:15">
      <c r="A5" s="46"/>
      <c r="B5" s="10"/>
      <c r="C5" s="11"/>
      <c r="D5" s="11"/>
      <c r="E5" s="11"/>
      <c r="F5" s="11"/>
      <c r="G5" s="11"/>
      <c r="H5" s="11"/>
      <c r="I5" s="11"/>
      <c r="J5" s="11"/>
      <c r="K5" s="11"/>
      <c r="L5" s="11"/>
      <c r="M5" s="11"/>
      <c r="N5" s="11"/>
      <c r="O5" s="12"/>
    </row>
    <row r="6" spans="1:15">
      <c r="A6" s="46"/>
      <c r="B6" s="10"/>
      <c r="C6" s="13" t="s">
        <v>0</v>
      </c>
      <c r="D6" s="11"/>
      <c r="E6" s="11"/>
      <c r="F6" s="11"/>
      <c r="G6" s="734" t="s">
        <v>559</v>
      </c>
      <c r="H6" s="153" t="s">
        <v>897</v>
      </c>
      <c r="J6" s="11"/>
      <c r="K6" s="11"/>
      <c r="L6" s="14" t="s">
        <v>5</v>
      </c>
      <c r="M6" s="15">
        <f>'Program Overview'!K6</f>
        <v>7</v>
      </c>
      <c r="N6" s="16">
        <f>'Program Overview'!M6</f>
        <v>43752</v>
      </c>
      <c r="O6" s="12"/>
    </row>
    <row r="7" spans="1:15">
      <c r="A7" s="46"/>
      <c r="B7" s="10"/>
      <c r="C7" s="13" t="s">
        <v>1</v>
      </c>
      <c r="D7" s="11"/>
      <c r="E7" s="11"/>
      <c r="F7" s="11"/>
      <c r="G7" s="11"/>
      <c r="H7" s="11"/>
      <c r="I7" s="11"/>
      <c r="J7" s="11"/>
      <c r="K7" s="11"/>
      <c r="L7" s="11"/>
      <c r="M7" s="11"/>
      <c r="N7" s="11"/>
      <c r="O7" s="12"/>
    </row>
    <row r="8" spans="1:15">
      <c r="A8" s="46"/>
      <c r="B8" s="17"/>
      <c r="C8" s="18"/>
      <c r="D8" s="18"/>
      <c r="E8" s="18"/>
      <c r="F8" s="18"/>
      <c r="G8" s="18"/>
      <c r="H8" s="18"/>
      <c r="I8" s="18"/>
      <c r="J8" s="11"/>
      <c r="K8" s="11"/>
      <c r="L8" s="11"/>
      <c r="M8" s="11"/>
      <c r="N8" s="11"/>
      <c r="O8" s="12"/>
    </row>
    <row r="9" spans="1:15">
      <c r="A9" s="46"/>
      <c r="B9" s="37"/>
      <c r="C9" s="59" t="s">
        <v>197</v>
      </c>
      <c r="D9" s="59"/>
      <c r="E9" s="94">
        <v>2</v>
      </c>
      <c r="F9" s="59"/>
      <c r="G9" s="570" t="s">
        <v>200</v>
      </c>
      <c r="H9" s="59"/>
      <c r="I9" s="59"/>
      <c r="J9" s="207"/>
      <c r="K9" s="59"/>
      <c r="L9" s="59"/>
      <c r="M9" s="59" t="s">
        <v>203</v>
      </c>
      <c r="N9" s="59"/>
      <c r="O9" s="227"/>
    </row>
    <row r="10" spans="1:15">
      <c r="A10" s="46"/>
      <c r="B10" s="38"/>
      <c r="C10" s="60" t="s">
        <v>9</v>
      </c>
      <c r="D10" s="60"/>
      <c r="E10" s="95" t="s">
        <v>374</v>
      </c>
      <c r="F10" s="60"/>
      <c r="G10" s="209"/>
      <c r="H10" s="60"/>
      <c r="I10" s="60"/>
      <c r="J10" s="209"/>
      <c r="K10" s="60"/>
      <c r="L10" s="60"/>
      <c r="M10" s="60"/>
      <c r="N10" s="60"/>
      <c r="O10" s="228"/>
    </row>
    <row r="11" spans="1:15" ht="15">
      <c r="A11" s="46"/>
      <c r="B11" s="7"/>
      <c r="C11" s="8"/>
      <c r="D11" s="8"/>
      <c r="E11" s="8"/>
      <c r="F11" s="9"/>
      <c r="G11" s="67" t="s">
        <v>198</v>
      </c>
      <c r="H11" s="62"/>
      <c r="I11" s="63">
        <v>2010</v>
      </c>
      <c r="J11" s="190" t="s">
        <v>371</v>
      </c>
      <c r="K11" s="74"/>
      <c r="L11" s="73"/>
      <c r="M11" s="11"/>
      <c r="N11" s="11"/>
      <c r="O11" s="12"/>
    </row>
    <row r="12" spans="1:15">
      <c r="A12" s="46"/>
      <c r="B12" s="10"/>
      <c r="C12" s="11"/>
      <c r="D12" s="11"/>
      <c r="E12" s="11"/>
      <c r="F12" s="12"/>
      <c r="G12" s="67" t="s">
        <v>199</v>
      </c>
      <c r="H12" s="62"/>
      <c r="I12" s="175" t="s">
        <v>378</v>
      </c>
      <c r="J12" s="191" t="s">
        <v>372</v>
      </c>
      <c r="K12" s="72"/>
      <c r="L12" s="73"/>
      <c r="M12" s="11"/>
      <c r="N12" s="11"/>
      <c r="O12" s="12"/>
    </row>
    <row r="13" spans="1:15">
      <c r="A13" s="46"/>
      <c r="B13" s="10"/>
      <c r="C13" s="11"/>
      <c r="D13" s="11"/>
      <c r="E13" s="11"/>
      <c r="F13" s="12"/>
      <c r="G13" s="67" t="s">
        <v>12</v>
      </c>
      <c r="H13" s="9"/>
      <c r="I13" s="90" t="s">
        <v>379</v>
      </c>
      <c r="J13" s="191" t="s">
        <v>373</v>
      </c>
      <c r="K13" s="74"/>
      <c r="L13" s="73"/>
      <c r="M13" s="11"/>
      <c r="N13" s="11"/>
      <c r="O13" s="12"/>
    </row>
    <row r="14" spans="1:15">
      <c r="A14" s="46"/>
      <c r="B14" s="10"/>
      <c r="C14" s="11"/>
      <c r="D14" s="11"/>
      <c r="E14" s="11"/>
      <c r="F14" s="12"/>
      <c r="G14" s="572" t="s">
        <v>201</v>
      </c>
      <c r="H14" s="449"/>
      <c r="I14" s="450"/>
      <c r="J14" s="77" t="s">
        <v>370</v>
      </c>
      <c r="K14" s="66"/>
      <c r="L14" s="76"/>
      <c r="M14" s="11"/>
      <c r="N14" s="11"/>
      <c r="O14" s="12"/>
    </row>
    <row r="15" spans="1:15">
      <c r="A15" s="46"/>
      <c r="B15" s="10"/>
      <c r="C15" s="11"/>
      <c r="D15" s="11"/>
      <c r="E15" s="11"/>
      <c r="F15" s="12"/>
      <c r="G15" s="93" t="s">
        <v>29</v>
      </c>
      <c r="H15" s="405" t="s">
        <v>30</v>
      </c>
      <c r="I15" s="92" t="s">
        <v>18</v>
      </c>
      <c r="J15" s="75" t="s">
        <v>375</v>
      </c>
      <c r="K15" s="66"/>
      <c r="L15" s="76"/>
      <c r="M15" s="11"/>
      <c r="N15" s="11"/>
      <c r="O15" s="12"/>
    </row>
    <row r="16" spans="1:15">
      <c r="A16" s="46"/>
      <c r="B16" s="10"/>
      <c r="C16" s="11"/>
      <c r="D16" s="11"/>
      <c r="E16" s="11"/>
      <c r="F16" s="12"/>
      <c r="G16" s="487" t="s">
        <v>202</v>
      </c>
      <c r="H16" s="487"/>
      <c r="I16" s="488"/>
      <c r="J16" s="77" t="s">
        <v>376</v>
      </c>
      <c r="K16" s="66"/>
      <c r="L16" s="76"/>
      <c r="M16" s="11"/>
      <c r="N16" s="11"/>
      <c r="O16" s="12"/>
    </row>
    <row r="17" spans="1:15">
      <c r="A17" s="46"/>
      <c r="B17" s="10"/>
      <c r="C17" s="11"/>
      <c r="D17" s="11"/>
      <c r="E17" s="11"/>
      <c r="F17" s="11"/>
      <c r="G17" s="97" t="s">
        <v>14</v>
      </c>
      <c r="H17" s="61">
        <v>22.15</v>
      </c>
      <c r="I17" s="61" t="s">
        <v>15</v>
      </c>
      <c r="J17" s="77" t="s">
        <v>377</v>
      </c>
      <c r="K17" s="66"/>
      <c r="L17" s="76"/>
      <c r="M17" s="11"/>
      <c r="N17" s="11"/>
      <c r="O17" s="12"/>
    </row>
    <row r="18" spans="1:15">
      <c r="A18" s="46"/>
      <c r="B18" s="10"/>
      <c r="C18" s="11"/>
      <c r="D18" s="11"/>
      <c r="E18" s="11"/>
      <c r="F18" s="11"/>
      <c r="G18" s="192" t="s">
        <v>380</v>
      </c>
      <c r="H18" s="573"/>
      <c r="I18" s="574"/>
      <c r="J18" s="77"/>
      <c r="K18" s="66"/>
      <c r="L18" s="76"/>
      <c r="M18" s="11"/>
      <c r="N18" s="11"/>
      <c r="O18" s="12"/>
    </row>
    <row r="19" spans="1:15">
      <c r="A19" s="46"/>
      <c r="B19" s="10"/>
      <c r="C19" s="11"/>
      <c r="D19" s="11"/>
      <c r="E19" s="11"/>
      <c r="F19" s="11"/>
      <c r="G19" s="97" t="s">
        <v>21</v>
      </c>
      <c r="H19" s="61">
        <v>2</v>
      </c>
      <c r="I19" s="61"/>
      <c r="J19" s="77"/>
      <c r="K19" s="66"/>
      <c r="L19" s="76"/>
      <c r="M19" s="11"/>
      <c r="N19" s="11"/>
      <c r="O19" s="12"/>
    </row>
    <row r="20" spans="1:15">
      <c r="A20" s="46"/>
      <c r="B20" s="10"/>
      <c r="C20" s="11"/>
      <c r="D20" s="11"/>
      <c r="E20" s="11"/>
      <c r="F20" s="11"/>
      <c r="G20" s="97" t="s">
        <v>33</v>
      </c>
      <c r="H20" s="98">
        <v>8</v>
      </c>
      <c r="I20" s="61"/>
      <c r="J20" s="46"/>
      <c r="K20" s="66"/>
      <c r="L20" s="76"/>
      <c r="M20" s="11"/>
      <c r="N20" s="11"/>
      <c r="O20" s="12"/>
    </row>
    <row r="21" spans="1:15">
      <c r="A21" s="46"/>
      <c r="B21" s="17"/>
      <c r="C21" s="18"/>
      <c r="D21" s="18"/>
      <c r="E21" s="18"/>
      <c r="F21" s="18"/>
      <c r="G21" s="97" t="s">
        <v>17</v>
      </c>
      <c r="H21" s="61">
        <v>200.19</v>
      </c>
      <c r="I21" s="61" t="s">
        <v>15</v>
      </c>
      <c r="J21" s="46"/>
      <c r="K21" s="15"/>
      <c r="L21" s="11"/>
      <c r="M21" s="11"/>
      <c r="N21" s="11"/>
      <c r="O21" s="78"/>
    </row>
    <row r="22" spans="1:15" ht="38.25" customHeight="1">
      <c r="A22" s="46"/>
      <c r="B22" s="398" t="s">
        <v>192</v>
      </c>
      <c r="C22" s="580" t="s">
        <v>212</v>
      </c>
      <c r="D22" s="491"/>
      <c r="E22" s="401" t="s">
        <v>26</v>
      </c>
      <c r="F22" s="579" t="s">
        <v>196</v>
      </c>
      <c r="G22" s="97" t="s">
        <v>189</v>
      </c>
      <c r="H22" s="70">
        <v>296</v>
      </c>
      <c r="I22" s="70" t="s">
        <v>19</v>
      </c>
      <c r="J22" s="576"/>
      <c r="K22" s="411"/>
      <c r="L22" s="411"/>
      <c r="M22" s="577" t="s">
        <v>207</v>
      </c>
      <c r="N22" s="411"/>
      <c r="O22" s="409"/>
    </row>
    <row r="23" spans="1:15" ht="16.5">
      <c r="A23" s="46"/>
      <c r="B23" s="471"/>
      <c r="C23" s="2" t="s">
        <v>27</v>
      </c>
      <c r="D23" s="2" t="s">
        <v>28</v>
      </c>
      <c r="E23" s="402"/>
      <c r="F23" s="489"/>
      <c r="G23" s="97" t="s">
        <v>22</v>
      </c>
      <c r="H23" s="70">
        <v>1</v>
      </c>
      <c r="I23" s="99"/>
      <c r="J23" s="10" t="s">
        <v>209</v>
      </c>
      <c r="K23" s="11"/>
      <c r="L23" s="11"/>
      <c r="M23" s="11"/>
      <c r="N23" s="11"/>
      <c r="O23" s="12"/>
    </row>
    <row r="24" spans="1:15" ht="15" customHeight="1">
      <c r="A24" s="46"/>
      <c r="B24" s="23">
        <v>1</v>
      </c>
      <c r="C24" s="194">
        <v>0</v>
      </c>
      <c r="D24" s="196">
        <v>75.3</v>
      </c>
      <c r="E24" s="193">
        <f t="shared" ref="E24:E32" si="0">0.00002*(10^(D24/20))</f>
        <v>0.11642064355417425</v>
      </c>
      <c r="F24" s="58"/>
      <c r="G24" s="97" t="s">
        <v>23</v>
      </c>
      <c r="H24" s="100">
        <v>7.5</v>
      </c>
      <c r="I24" s="99" t="s">
        <v>15</v>
      </c>
      <c r="J24" s="10" t="s">
        <v>208</v>
      </c>
      <c r="K24" s="11"/>
      <c r="L24" s="11"/>
      <c r="M24" s="11"/>
      <c r="N24" s="11"/>
      <c r="O24" s="12"/>
    </row>
    <row r="25" spans="1:15" ht="15" customHeight="1">
      <c r="A25" s="46"/>
      <c r="B25" s="23">
        <f>B24+1</f>
        <v>2</v>
      </c>
      <c r="C25" s="194">
        <v>0.05</v>
      </c>
      <c r="D25" s="196">
        <v>76</v>
      </c>
      <c r="E25" s="193">
        <f t="shared" si="0"/>
        <v>0.12619146889603877</v>
      </c>
      <c r="F25" s="58"/>
      <c r="G25" s="97" t="s">
        <v>24</v>
      </c>
      <c r="H25" s="100">
        <v>1.2</v>
      </c>
      <c r="I25" s="99" t="s">
        <v>15</v>
      </c>
      <c r="J25" s="10" t="s">
        <v>210</v>
      </c>
      <c r="K25" s="11"/>
      <c r="L25" s="11"/>
      <c r="M25" s="11"/>
      <c r="N25" s="11"/>
      <c r="O25" s="12"/>
    </row>
    <row r="26" spans="1:15" ht="15" customHeight="1">
      <c r="A26" s="46"/>
      <c r="B26" s="23">
        <f t="shared" ref="B26:B89" si="1">B25+1</f>
        <v>3</v>
      </c>
      <c r="C26" s="194">
        <v>0.1</v>
      </c>
      <c r="D26" s="196">
        <v>76</v>
      </c>
      <c r="E26" s="193">
        <f t="shared" si="0"/>
        <v>0.12619146889603877</v>
      </c>
      <c r="F26" s="58"/>
      <c r="G26" s="97" t="s">
        <v>815</v>
      </c>
      <c r="H26" s="100">
        <v>0.05</v>
      </c>
      <c r="I26" s="99" t="s">
        <v>20</v>
      </c>
      <c r="J26" s="10"/>
      <c r="K26" s="11"/>
      <c r="L26" s="11"/>
      <c r="M26" s="11"/>
      <c r="N26" s="11"/>
      <c r="O26" s="12"/>
    </row>
    <row r="27" spans="1:15" ht="15" customHeight="1">
      <c r="A27" s="46"/>
      <c r="B27" s="23">
        <f t="shared" si="1"/>
        <v>4</v>
      </c>
      <c r="C27" s="194">
        <v>0.15</v>
      </c>
      <c r="D27" s="196">
        <v>77.2</v>
      </c>
      <c r="E27" s="193">
        <f t="shared" si="0"/>
        <v>0.14488719201499833</v>
      </c>
      <c r="F27" s="58"/>
      <c r="G27" s="97" t="s">
        <v>816</v>
      </c>
      <c r="H27" s="100">
        <v>85</v>
      </c>
      <c r="I27" s="99"/>
      <c r="J27" s="17"/>
      <c r="K27" s="18"/>
      <c r="L27" s="18"/>
      <c r="M27" s="18"/>
      <c r="N27" s="18"/>
      <c r="O27" s="19"/>
    </row>
    <row r="28" spans="1:15" ht="15" customHeight="1">
      <c r="A28" s="46"/>
      <c r="B28" s="23">
        <f t="shared" si="1"/>
        <v>5</v>
      </c>
      <c r="C28" s="194">
        <v>0.2</v>
      </c>
      <c r="D28" s="196">
        <v>77.599999999999994</v>
      </c>
      <c r="E28" s="193">
        <f t="shared" si="0"/>
        <v>0.1517155150058368</v>
      </c>
      <c r="F28" s="58"/>
      <c r="G28" s="79"/>
      <c r="H28" s="80"/>
      <c r="I28" s="81"/>
      <c r="J28" s="46"/>
      <c r="K28" s="46"/>
      <c r="L28" s="46"/>
      <c r="M28" s="46"/>
      <c r="N28" s="46"/>
      <c r="O28" s="46"/>
    </row>
    <row r="29" spans="1:15" ht="15" customHeight="1">
      <c r="A29" s="46"/>
      <c r="B29" s="23">
        <f t="shared" si="1"/>
        <v>6</v>
      </c>
      <c r="C29" s="194">
        <v>0.25</v>
      </c>
      <c r="D29" s="196">
        <v>79.3</v>
      </c>
      <c r="E29" s="193">
        <f t="shared" si="0"/>
        <v>0.18451428543095286</v>
      </c>
      <c r="F29" s="58"/>
      <c r="G29" s="575" t="s">
        <v>204</v>
      </c>
      <c r="H29" s="449"/>
      <c r="I29" s="449"/>
      <c r="J29" s="449"/>
      <c r="K29" s="449"/>
      <c r="L29" s="449"/>
      <c r="M29" s="449"/>
      <c r="N29" s="449"/>
      <c r="O29" s="450"/>
    </row>
    <row r="30" spans="1:15" ht="15" customHeight="1">
      <c r="A30" s="46"/>
      <c r="B30" s="23">
        <f t="shared" si="1"/>
        <v>7</v>
      </c>
      <c r="C30" s="194">
        <v>0.3</v>
      </c>
      <c r="D30" s="196">
        <v>80.5</v>
      </c>
      <c r="E30" s="193">
        <f t="shared" si="0"/>
        <v>0.21185074503545828</v>
      </c>
      <c r="F30" s="58" t="s">
        <v>190</v>
      </c>
      <c r="G30" s="82"/>
      <c r="H30" s="82"/>
      <c r="I30" s="81"/>
      <c r="J30" s="46"/>
      <c r="K30" s="46"/>
      <c r="L30" s="46"/>
      <c r="M30" s="46"/>
      <c r="N30" s="46"/>
      <c r="O30" s="46"/>
    </row>
    <row r="31" spans="1:15" ht="15" customHeight="1">
      <c r="A31" s="46"/>
      <c r="B31" s="23">
        <f t="shared" si="1"/>
        <v>8</v>
      </c>
      <c r="C31" s="194">
        <v>0.35</v>
      </c>
      <c r="D31" s="196">
        <v>81.7</v>
      </c>
      <c r="E31" s="193">
        <f t="shared" si="0"/>
        <v>0.24323720012927363</v>
      </c>
      <c r="F31" s="58"/>
      <c r="G31" s="82"/>
      <c r="H31" s="82"/>
      <c r="I31" s="81"/>
      <c r="J31" s="46"/>
      <c r="K31" s="46"/>
      <c r="L31" s="46"/>
      <c r="M31" s="46"/>
      <c r="N31" s="46"/>
      <c r="O31" s="46"/>
    </row>
    <row r="32" spans="1:15" ht="15" customHeight="1">
      <c r="A32" s="46"/>
      <c r="B32" s="23">
        <f t="shared" si="1"/>
        <v>9</v>
      </c>
      <c r="C32" s="194">
        <v>0.4</v>
      </c>
      <c r="D32" s="196">
        <v>82.5</v>
      </c>
      <c r="E32" s="193">
        <f t="shared" si="0"/>
        <v>0.26670428643266519</v>
      </c>
      <c r="F32" s="58"/>
      <c r="G32" s="82"/>
      <c r="H32" s="82"/>
      <c r="I32" s="81"/>
      <c r="J32" s="46"/>
      <c r="K32" s="46"/>
      <c r="L32" s="46"/>
      <c r="M32" s="46"/>
      <c r="N32" s="46"/>
      <c r="O32" s="46"/>
    </row>
    <row r="33" spans="1:15" ht="15" customHeight="1">
      <c r="A33" s="46"/>
      <c r="B33" s="23">
        <f t="shared" si="1"/>
        <v>10</v>
      </c>
      <c r="C33" s="194">
        <v>0.45</v>
      </c>
      <c r="D33" s="196">
        <v>85</v>
      </c>
      <c r="E33" s="193">
        <f>0.00002*(10^(D33/20))</f>
        <v>0.3556558820077847</v>
      </c>
      <c r="F33" s="58"/>
      <c r="G33" s="82"/>
      <c r="H33" s="82"/>
      <c r="I33" s="81"/>
      <c r="J33" s="46"/>
      <c r="K33" s="46"/>
      <c r="L33" s="46"/>
      <c r="M33" s="46"/>
      <c r="N33" s="46"/>
      <c r="O33" s="46"/>
    </row>
    <row r="34" spans="1:15" ht="15" customHeight="1">
      <c r="A34" s="46"/>
      <c r="B34" s="23">
        <f t="shared" si="1"/>
        <v>11</v>
      </c>
      <c r="C34" s="194">
        <v>0.5</v>
      </c>
      <c r="D34" s="196">
        <v>86.2</v>
      </c>
      <c r="E34" s="193">
        <f t="shared" ref="E34:E108" si="2">0.00002*(10^(D34/20))</f>
        <v>0.40834758893390649</v>
      </c>
      <c r="F34" s="58"/>
      <c r="G34" s="82"/>
      <c r="H34" s="82"/>
      <c r="I34" s="81"/>
      <c r="J34" s="46"/>
      <c r="K34" s="46"/>
      <c r="L34" s="46"/>
      <c r="M34" s="46"/>
      <c r="N34" s="46"/>
      <c r="O34" s="46"/>
    </row>
    <row r="35" spans="1:15" ht="15" customHeight="1">
      <c r="A35" s="46"/>
      <c r="B35" s="23">
        <f t="shared" si="1"/>
        <v>12</v>
      </c>
      <c r="C35" s="194">
        <v>0.55000000000000004</v>
      </c>
      <c r="D35" s="196">
        <v>88</v>
      </c>
      <c r="E35" s="193">
        <f t="shared" si="2"/>
        <v>0.50237728630191725</v>
      </c>
      <c r="F35" s="58"/>
      <c r="G35" s="82"/>
      <c r="H35" s="82"/>
      <c r="I35" s="81"/>
      <c r="J35" s="46"/>
      <c r="K35" s="46"/>
      <c r="L35" s="46"/>
      <c r="M35" s="46"/>
      <c r="N35" s="46"/>
      <c r="O35" s="46"/>
    </row>
    <row r="36" spans="1:15" ht="15" customHeight="1">
      <c r="A36" s="46"/>
      <c r="B36" s="23">
        <f t="shared" si="1"/>
        <v>13</v>
      </c>
      <c r="C36" s="194">
        <v>0.6</v>
      </c>
      <c r="D36" s="196">
        <v>89.9</v>
      </c>
      <c r="E36" s="193">
        <f t="shared" si="2"/>
        <v>0.62521587342479201</v>
      </c>
      <c r="F36" s="58"/>
      <c r="G36" s="82"/>
      <c r="H36" s="82"/>
      <c r="I36" s="81"/>
      <c r="J36" s="46"/>
      <c r="K36" s="46"/>
      <c r="L36" s="46"/>
      <c r="M36" s="46"/>
      <c r="N36" s="46"/>
      <c r="O36" s="46"/>
    </row>
    <row r="37" spans="1:15" ht="15" customHeight="1">
      <c r="A37" s="46"/>
      <c r="B37" s="23">
        <f t="shared" si="1"/>
        <v>14</v>
      </c>
      <c r="C37" s="194">
        <v>0.65</v>
      </c>
      <c r="D37" s="196">
        <v>91.9</v>
      </c>
      <c r="E37" s="193">
        <f t="shared" si="2"/>
        <v>0.78710015091155672</v>
      </c>
      <c r="F37" s="58"/>
      <c r="G37" s="82"/>
      <c r="H37" s="82"/>
      <c r="I37" s="81"/>
      <c r="J37" s="46"/>
      <c r="K37" s="46"/>
      <c r="L37" s="46"/>
      <c r="M37" s="46"/>
      <c r="N37" s="46"/>
      <c r="O37" s="46"/>
    </row>
    <row r="38" spans="1:15" ht="15" customHeight="1">
      <c r="A38" s="46"/>
      <c r="B38" s="23">
        <f t="shared" si="1"/>
        <v>15</v>
      </c>
      <c r="C38" s="194">
        <v>0.7</v>
      </c>
      <c r="D38" s="196">
        <v>94.4</v>
      </c>
      <c r="E38" s="193">
        <f t="shared" si="2"/>
        <v>1.0496149204995482</v>
      </c>
      <c r="F38" s="58"/>
      <c r="G38" s="82"/>
      <c r="H38" s="82"/>
      <c r="I38" s="81"/>
      <c r="J38" s="46"/>
      <c r="K38" s="46"/>
      <c r="L38" s="46"/>
      <c r="M38" s="46"/>
      <c r="N38" s="46"/>
      <c r="O38" s="46"/>
    </row>
    <row r="39" spans="1:15" ht="15" customHeight="1">
      <c r="A39" s="46"/>
      <c r="B39" s="23">
        <f t="shared" si="1"/>
        <v>16</v>
      </c>
      <c r="C39" s="194">
        <v>0.75</v>
      </c>
      <c r="D39" s="196">
        <v>96.5</v>
      </c>
      <c r="E39" s="193">
        <f t="shared" si="2"/>
        <v>1.3366878351372318</v>
      </c>
      <c r="F39" s="58"/>
      <c r="G39" s="82"/>
      <c r="H39" s="82"/>
      <c r="I39" s="81"/>
      <c r="J39" s="46"/>
      <c r="K39" s="46"/>
      <c r="L39" s="46"/>
      <c r="M39" s="46"/>
      <c r="N39" s="46"/>
      <c r="O39" s="46"/>
    </row>
    <row r="40" spans="1:15" ht="15" customHeight="1">
      <c r="A40" s="46"/>
      <c r="B40" s="23">
        <f t="shared" si="1"/>
        <v>17</v>
      </c>
      <c r="C40" s="194">
        <v>0.8</v>
      </c>
      <c r="D40" s="197">
        <v>98</v>
      </c>
      <c r="E40" s="193">
        <f t="shared" si="2"/>
        <v>1.588656469448565</v>
      </c>
      <c r="F40" s="58"/>
      <c r="G40" s="82"/>
      <c r="H40" s="82"/>
      <c r="I40" s="81"/>
      <c r="J40" s="46"/>
      <c r="K40" s="46"/>
      <c r="L40" s="46"/>
      <c r="M40" s="46"/>
      <c r="N40" s="46"/>
      <c r="O40" s="46"/>
    </row>
    <row r="41" spans="1:15" ht="15" customHeight="1">
      <c r="A41" s="46"/>
      <c r="B41" s="23">
        <f t="shared" si="1"/>
        <v>18</v>
      </c>
      <c r="C41" s="194">
        <v>0.85</v>
      </c>
      <c r="D41" s="196">
        <v>100.4</v>
      </c>
      <c r="E41" s="193">
        <f t="shared" si="2"/>
        <v>2.0942570961018032</v>
      </c>
      <c r="F41" s="58"/>
      <c r="G41" s="82"/>
      <c r="H41" s="82"/>
      <c r="I41" s="81"/>
      <c r="J41" s="46"/>
      <c r="K41" s="46"/>
      <c r="L41" s="46"/>
      <c r="M41" s="46"/>
      <c r="N41" s="46"/>
      <c r="O41" s="46"/>
    </row>
    <row r="42" spans="1:15" ht="15" customHeight="1">
      <c r="A42" s="46"/>
      <c r="B42" s="23">
        <f t="shared" si="1"/>
        <v>19</v>
      </c>
      <c r="C42" s="194">
        <v>0.9</v>
      </c>
      <c r="D42" s="196">
        <v>100.3</v>
      </c>
      <c r="E42" s="193">
        <f t="shared" si="2"/>
        <v>2.0702843333586882</v>
      </c>
      <c r="F42" s="58"/>
      <c r="G42" s="79"/>
      <c r="H42" s="82"/>
      <c r="I42" s="83"/>
      <c r="J42" s="46"/>
      <c r="K42" s="46"/>
      <c r="L42" s="46"/>
      <c r="M42" s="46"/>
      <c r="N42" s="46"/>
      <c r="O42" s="46"/>
    </row>
    <row r="43" spans="1:15" ht="15" customHeight="1">
      <c r="A43" s="46"/>
      <c r="B43" s="23">
        <f t="shared" si="1"/>
        <v>20</v>
      </c>
      <c r="C43" s="195">
        <v>0.95</v>
      </c>
      <c r="D43" s="198">
        <v>99.1</v>
      </c>
      <c r="E43" s="193">
        <f t="shared" si="2"/>
        <v>1.8031422752119151</v>
      </c>
      <c r="F43" s="58"/>
      <c r="G43" s="82"/>
      <c r="H43" s="82"/>
      <c r="I43" s="81"/>
      <c r="J43" s="46"/>
      <c r="K43" s="46"/>
      <c r="L43" s="46"/>
      <c r="M43" s="46"/>
      <c r="N43" s="46"/>
      <c r="O43" s="46"/>
    </row>
    <row r="44" spans="1:15" ht="15" customHeight="1">
      <c r="A44" s="46"/>
      <c r="B44" s="23">
        <f t="shared" si="1"/>
        <v>21</v>
      </c>
      <c r="C44" s="194">
        <v>1</v>
      </c>
      <c r="D44" s="196">
        <v>100</v>
      </c>
      <c r="E44" s="193">
        <f t="shared" si="2"/>
        <v>2</v>
      </c>
      <c r="F44" s="58"/>
      <c r="G44" s="82"/>
      <c r="H44" s="82"/>
      <c r="I44" s="81"/>
      <c r="J44" s="46"/>
      <c r="K44" s="46"/>
      <c r="L44" s="46"/>
      <c r="M44" s="46"/>
      <c r="N44" s="46"/>
      <c r="O44" s="46"/>
    </row>
    <row r="45" spans="1:15" ht="15" customHeight="1">
      <c r="A45" s="46"/>
      <c r="B45" s="23">
        <f t="shared" si="1"/>
        <v>22</v>
      </c>
      <c r="C45" s="194">
        <v>1.05</v>
      </c>
      <c r="D45" s="196">
        <v>99.1</v>
      </c>
      <c r="E45" s="193">
        <f t="shared" si="2"/>
        <v>1.8031422752119151</v>
      </c>
      <c r="F45" s="58"/>
      <c r="G45" s="84"/>
      <c r="H45" s="82"/>
      <c r="I45" s="81"/>
      <c r="J45" s="46"/>
      <c r="K45" s="46"/>
      <c r="L45" s="46"/>
      <c r="M45" s="46"/>
      <c r="N45" s="46"/>
      <c r="O45" s="46"/>
    </row>
    <row r="46" spans="1:15" ht="15" customHeight="1">
      <c r="A46" s="46"/>
      <c r="B46" s="23">
        <f t="shared" si="1"/>
        <v>23</v>
      </c>
      <c r="C46" s="194">
        <v>1.1000000000000001</v>
      </c>
      <c r="D46" s="196">
        <v>98.8</v>
      </c>
      <c r="E46" s="193">
        <f t="shared" si="2"/>
        <v>1.7419271799121627</v>
      </c>
      <c r="F46" s="89"/>
      <c r="G46" s="84"/>
      <c r="H46" s="82"/>
      <c r="I46" s="81"/>
      <c r="J46" s="46"/>
      <c r="K46" s="46"/>
      <c r="L46" s="46"/>
      <c r="M46" s="46"/>
      <c r="N46" s="46"/>
      <c r="O46" s="46"/>
    </row>
    <row r="47" spans="1:15" ht="15" customHeight="1">
      <c r="A47" s="46"/>
      <c r="B47" s="23">
        <f t="shared" si="1"/>
        <v>24</v>
      </c>
      <c r="C47" s="194">
        <v>1.1499999999999999</v>
      </c>
      <c r="D47" s="196">
        <v>97.7</v>
      </c>
      <c r="E47" s="193">
        <f t="shared" si="2"/>
        <v>1.5347229787236401</v>
      </c>
      <c r="F47" s="58"/>
      <c r="G47" s="84"/>
      <c r="H47" s="82"/>
      <c r="I47" s="81"/>
      <c r="J47" s="46"/>
      <c r="K47" s="46"/>
      <c r="L47" s="46"/>
      <c r="M47" s="46"/>
      <c r="N47" s="46"/>
      <c r="O47" s="46"/>
    </row>
    <row r="48" spans="1:15" ht="15" customHeight="1">
      <c r="A48" s="46"/>
      <c r="B48" s="23">
        <f t="shared" si="1"/>
        <v>25</v>
      </c>
      <c r="C48" s="194">
        <v>1.2</v>
      </c>
      <c r="D48" s="196">
        <v>96.9</v>
      </c>
      <c r="E48" s="193">
        <f t="shared" si="2"/>
        <v>1.3996839920045494</v>
      </c>
      <c r="F48" s="58"/>
      <c r="G48" s="84"/>
      <c r="H48" s="82"/>
      <c r="I48" s="81"/>
      <c r="J48" s="46"/>
      <c r="K48" s="46"/>
      <c r="L48" s="46"/>
      <c r="M48" s="46"/>
      <c r="N48" s="46"/>
      <c r="O48" s="46"/>
    </row>
    <row r="49" spans="1:15" ht="15" customHeight="1">
      <c r="A49" s="46"/>
      <c r="B49" s="23">
        <f t="shared" si="1"/>
        <v>26</v>
      </c>
      <c r="C49" s="194">
        <v>1.25</v>
      </c>
      <c r="D49" s="196">
        <v>98.7</v>
      </c>
      <c r="E49" s="193">
        <f t="shared" si="2"/>
        <v>1.7219875043692059</v>
      </c>
      <c r="F49" s="58"/>
      <c r="G49" s="84"/>
      <c r="H49" s="82"/>
      <c r="I49" s="85"/>
      <c r="J49" s="46"/>
      <c r="K49" s="46"/>
      <c r="L49" s="46"/>
      <c r="M49" s="46"/>
      <c r="N49" s="46"/>
      <c r="O49" s="46"/>
    </row>
    <row r="50" spans="1:15" ht="15" customHeight="1">
      <c r="A50" s="46"/>
      <c r="B50" s="23">
        <f t="shared" si="1"/>
        <v>27</v>
      </c>
      <c r="C50" s="194">
        <v>1.3</v>
      </c>
      <c r="D50" s="196">
        <v>100.8</v>
      </c>
      <c r="E50" s="193">
        <f t="shared" si="2"/>
        <v>2.1929563922863737</v>
      </c>
      <c r="F50" s="58"/>
      <c r="G50" s="84"/>
      <c r="H50" s="82"/>
      <c r="I50" s="85"/>
      <c r="J50" s="46"/>
      <c r="K50" s="46"/>
      <c r="L50" s="46"/>
      <c r="M50" s="46"/>
      <c r="N50" s="46"/>
      <c r="O50" s="46"/>
    </row>
    <row r="51" spans="1:15" ht="15" customHeight="1">
      <c r="A51" s="46"/>
      <c r="B51" s="23">
        <f t="shared" si="1"/>
        <v>28</v>
      </c>
      <c r="C51" s="194">
        <v>1.35</v>
      </c>
      <c r="D51" s="196">
        <v>100</v>
      </c>
      <c r="E51" s="193">
        <f t="shared" si="2"/>
        <v>2</v>
      </c>
      <c r="F51" s="58"/>
      <c r="G51" s="84"/>
      <c r="H51" s="82"/>
      <c r="I51" s="86"/>
      <c r="J51" s="46"/>
      <c r="K51" s="46"/>
      <c r="L51" s="46"/>
      <c r="M51" s="46"/>
      <c r="N51" s="46"/>
      <c r="O51" s="46"/>
    </row>
    <row r="52" spans="1:15" ht="15" customHeight="1">
      <c r="A52" s="46"/>
      <c r="B52" s="23">
        <f t="shared" si="1"/>
        <v>29</v>
      </c>
      <c r="C52" s="194">
        <v>1.4</v>
      </c>
      <c r="D52" s="196">
        <v>98</v>
      </c>
      <c r="E52" s="193">
        <f t="shared" si="2"/>
        <v>1.588656469448565</v>
      </c>
      <c r="F52" s="58"/>
      <c r="G52" s="84"/>
      <c r="H52" s="82"/>
      <c r="I52" s="86"/>
      <c r="J52" s="46"/>
      <c r="K52" s="46"/>
      <c r="L52" s="46"/>
      <c r="M52" s="46"/>
      <c r="N52" s="46"/>
      <c r="O52" s="46"/>
    </row>
    <row r="53" spans="1:15" ht="15" customHeight="1">
      <c r="A53" s="46"/>
      <c r="B53" s="23">
        <f t="shared" si="1"/>
        <v>30</v>
      </c>
      <c r="C53" s="194">
        <v>1.45</v>
      </c>
      <c r="D53" s="196">
        <v>97.4</v>
      </c>
      <c r="E53" s="193">
        <f t="shared" si="2"/>
        <v>1.4826204826018372</v>
      </c>
      <c r="F53" s="58"/>
      <c r="G53" s="84"/>
      <c r="H53" s="82"/>
      <c r="I53" s="86"/>
      <c r="J53" s="46"/>
      <c r="K53" s="46"/>
      <c r="L53" s="46"/>
      <c r="M53" s="46"/>
      <c r="N53" s="46"/>
      <c r="O53" s="46"/>
    </row>
    <row r="54" spans="1:15" ht="15" customHeight="1">
      <c r="A54" s="46"/>
      <c r="B54" s="23">
        <f t="shared" si="1"/>
        <v>31</v>
      </c>
      <c r="C54" s="194">
        <v>1.5</v>
      </c>
      <c r="D54" s="196">
        <v>97.9</v>
      </c>
      <c r="E54" s="193">
        <f t="shared" si="2"/>
        <v>1.5704712692201486</v>
      </c>
      <c r="F54" s="58"/>
      <c r="G54" s="84"/>
      <c r="H54" s="82"/>
      <c r="I54" s="85"/>
      <c r="J54" s="46"/>
      <c r="K54" s="46"/>
      <c r="L54" s="46"/>
      <c r="M54" s="46"/>
      <c r="N54" s="46"/>
      <c r="O54" s="46"/>
    </row>
    <row r="55" spans="1:15" ht="15" customHeight="1">
      <c r="A55" s="46"/>
      <c r="B55" s="23">
        <f t="shared" si="1"/>
        <v>32</v>
      </c>
      <c r="C55" s="194">
        <v>1.55</v>
      </c>
      <c r="D55" s="197">
        <v>98.3</v>
      </c>
      <c r="E55" s="193">
        <f t="shared" si="2"/>
        <v>1.6444852998941439</v>
      </c>
      <c r="F55" s="58"/>
      <c r="G55" s="84"/>
      <c r="H55" s="82"/>
      <c r="I55" s="85"/>
      <c r="J55" s="46"/>
      <c r="K55" s="46"/>
      <c r="L55" s="46"/>
      <c r="M55" s="46"/>
      <c r="N55" s="46"/>
      <c r="O55" s="46"/>
    </row>
    <row r="56" spans="1:15" ht="15" customHeight="1">
      <c r="A56" s="46"/>
      <c r="B56" s="23">
        <f t="shared" si="1"/>
        <v>33</v>
      </c>
      <c r="C56" s="194">
        <v>1.6</v>
      </c>
      <c r="D56" s="196">
        <v>98.2</v>
      </c>
      <c r="E56" s="193">
        <f t="shared" si="2"/>
        <v>1.6256610323282004</v>
      </c>
      <c r="F56" s="58"/>
      <c r="G56" s="79"/>
      <c r="H56" s="82"/>
      <c r="I56" s="85"/>
      <c r="J56" s="46"/>
      <c r="K56" s="46"/>
      <c r="L56" s="46"/>
      <c r="M56" s="46"/>
      <c r="N56" s="46"/>
      <c r="O56" s="46"/>
    </row>
    <row r="57" spans="1:15" ht="15" customHeight="1">
      <c r="A57" s="46"/>
      <c r="B57" s="23">
        <f t="shared" si="1"/>
        <v>34</v>
      </c>
      <c r="C57" s="194">
        <v>1.65</v>
      </c>
      <c r="D57" s="196">
        <v>96.3</v>
      </c>
      <c r="E57" s="193">
        <f t="shared" si="2"/>
        <v>1.3062611052949451</v>
      </c>
      <c r="F57" s="58"/>
      <c r="G57" s="82"/>
      <c r="H57" s="82"/>
      <c r="I57" s="85"/>
      <c r="J57" s="46"/>
      <c r="K57" s="46"/>
      <c r="L57" s="46"/>
      <c r="M57" s="46"/>
      <c r="N57" s="46"/>
      <c r="O57" s="46"/>
    </row>
    <row r="58" spans="1:15" ht="15" customHeight="1">
      <c r="A58" s="46"/>
      <c r="B58" s="23">
        <f t="shared" si="1"/>
        <v>35</v>
      </c>
      <c r="C58" s="194">
        <v>1.7</v>
      </c>
      <c r="D58" s="197">
        <v>97.1</v>
      </c>
      <c r="E58" s="193">
        <f t="shared" si="2"/>
        <v>1.4322868204258039</v>
      </c>
      <c r="F58" s="58"/>
      <c r="G58" s="82"/>
      <c r="H58" s="82"/>
      <c r="I58" s="85"/>
      <c r="J58" s="46"/>
      <c r="K58" s="46"/>
      <c r="L58" s="46"/>
      <c r="M58" s="46"/>
      <c r="N58" s="46"/>
      <c r="O58" s="46"/>
    </row>
    <row r="59" spans="1:15" ht="15" customHeight="1">
      <c r="A59" s="46"/>
      <c r="B59" s="23">
        <f t="shared" si="1"/>
        <v>36</v>
      </c>
      <c r="C59" s="194">
        <v>1.75</v>
      </c>
      <c r="D59" s="196">
        <v>98</v>
      </c>
      <c r="E59" s="193">
        <f t="shared" si="2"/>
        <v>1.588656469448565</v>
      </c>
      <c r="F59" s="58"/>
      <c r="G59" s="79"/>
      <c r="H59" s="82"/>
      <c r="I59" s="85"/>
      <c r="J59" s="46"/>
      <c r="K59" s="46"/>
      <c r="L59" s="46"/>
      <c r="M59" s="46"/>
      <c r="N59" s="46"/>
      <c r="O59" s="46"/>
    </row>
    <row r="60" spans="1:15" ht="15" customHeight="1">
      <c r="A60" s="46"/>
      <c r="B60" s="23">
        <f t="shared" si="1"/>
        <v>37</v>
      </c>
      <c r="C60" s="194">
        <v>1.8</v>
      </c>
      <c r="D60" s="196">
        <v>99</v>
      </c>
      <c r="E60" s="193">
        <f t="shared" si="2"/>
        <v>1.7825018762674922</v>
      </c>
      <c r="F60" s="58"/>
      <c r="G60" s="87"/>
      <c r="H60" s="82"/>
      <c r="I60" s="85"/>
      <c r="J60" s="46"/>
      <c r="K60" s="46"/>
      <c r="L60" s="46"/>
      <c r="M60" s="46"/>
      <c r="N60" s="46"/>
      <c r="O60" s="46"/>
    </row>
    <row r="61" spans="1:15" ht="15" customHeight="1">
      <c r="A61" s="46"/>
      <c r="B61" s="23">
        <f t="shared" si="1"/>
        <v>38</v>
      </c>
      <c r="C61" s="194">
        <v>1.85</v>
      </c>
      <c r="D61" s="196">
        <v>97.5</v>
      </c>
      <c r="E61" s="193">
        <f t="shared" si="2"/>
        <v>1.4997884186649137</v>
      </c>
      <c r="F61" s="58"/>
      <c r="G61" s="84"/>
      <c r="H61" s="82"/>
      <c r="I61" s="85"/>
      <c r="J61" s="46"/>
      <c r="K61" s="46"/>
      <c r="L61" s="46"/>
      <c r="M61" s="46"/>
      <c r="N61" s="46"/>
      <c r="O61" s="46"/>
    </row>
    <row r="62" spans="1:15" ht="15" customHeight="1">
      <c r="A62" s="46"/>
      <c r="B62" s="23">
        <f t="shared" si="1"/>
        <v>39</v>
      </c>
      <c r="C62" s="195">
        <v>1.9</v>
      </c>
      <c r="D62" s="198">
        <v>99.1</v>
      </c>
      <c r="E62" s="193">
        <f t="shared" si="2"/>
        <v>1.8031422752119151</v>
      </c>
      <c r="F62" s="58"/>
      <c r="G62" s="82"/>
      <c r="H62" s="82"/>
      <c r="I62" s="85"/>
      <c r="J62" s="46"/>
      <c r="K62" s="46"/>
      <c r="L62" s="46"/>
      <c r="M62" s="46"/>
      <c r="N62" s="46"/>
      <c r="O62" s="46"/>
    </row>
    <row r="63" spans="1:15" ht="15" customHeight="1">
      <c r="A63" s="46"/>
      <c r="B63" s="23">
        <f t="shared" si="1"/>
        <v>40</v>
      </c>
      <c r="C63" s="194">
        <v>1.95</v>
      </c>
      <c r="D63" s="196">
        <v>101.3</v>
      </c>
      <c r="E63" s="193">
        <f t="shared" si="2"/>
        <v>2.3228972276806847</v>
      </c>
      <c r="F63" s="58"/>
      <c r="G63" s="82"/>
      <c r="H63" s="82"/>
      <c r="I63" s="85"/>
      <c r="J63" s="46"/>
      <c r="K63" s="46"/>
      <c r="L63" s="46"/>
      <c r="M63" s="46"/>
      <c r="N63" s="46"/>
      <c r="O63" s="46"/>
    </row>
    <row r="64" spans="1:15" ht="15" customHeight="1">
      <c r="A64" s="46"/>
      <c r="B64" s="23">
        <f t="shared" si="1"/>
        <v>41</v>
      </c>
      <c r="C64" s="194">
        <v>2</v>
      </c>
      <c r="D64" s="196">
        <v>101.9</v>
      </c>
      <c r="E64" s="193">
        <f t="shared" si="2"/>
        <v>2.4890292235427776</v>
      </c>
      <c r="F64" s="58"/>
      <c r="G64" s="79"/>
      <c r="H64" s="82"/>
      <c r="I64" s="76"/>
      <c r="J64" s="46"/>
      <c r="K64" s="46"/>
      <c r="L64" s="46"/>
      <c r="M64" s="46"/>
      <c r="N64" s="46"/>
      <c r="O64" s="46"/>
    </row>
    <row r="65" spans="1:15" ht="15" customHeight="1">
      <c r="A65" s="46"/>
      <c r="B65" s="23">
        <f t="shared" si="1"/>
        <v>42</v>
      </c>
      <c r="C65" s="194">
        <v>2.0499999999999998</v>
      </c>
      <c r="D65" s="196">
        <v>101</v>
      </c>
      <c r="E65" s="193">
        <f t="shared" si="2"/>
        <v>2.2440369086039302</v>
      </c>
      <c r="F65" s="58"/>
      <c r="G65" s="79"/>
      <c r="H65" s="82"/>
      <c r="I65" s="76"/>
      <c r="J65" s="46"/>
      <c r="K65" s="46"/>
      <c r="L65" s="46"/>
      <c r="M65" s="46"/>
      <c r="N65" s="46"/>
      <c r="O65" s="46"/>
    </row>
    <row r="66" spans="1:15" ht="15" customHeight="1">
      <c r="A66" s="46"/>
      <c r="B66" s="23">
        <f t="shared" si="1"/>
        <v>43</v>
      </c>
      <c r="C66" s="194">
        <v>2.1</v>
      </c>
      <c r="D66" s="196">
        <v>99</v>
      </c>
      <c r="E66" s="193">
        <f t="shared" si="2"/>
        <v>1.7825018762674922</v>
      </c>
      <c r="F66" s="58"/>
      <c r="G66" s="79"/>
      <c r="H66" s="82"/>
      <c r="I66" s="76" t="s">
        <v>190</v>
      </c>
      <c r="J66" s="46"/>
      <c r="K66" s="46"/>
      <c r="L66" s="46"/>
      <c r="M66" s="46"/>
      <c r="N66" s="46"/>
      <c r="O66" s="46"/>
    </row>
    <row r="67" spans="1:15" ht="15" customHeight="1">
      <c r="A67" s="46"/>
      <c r="B67" s="23">
        <f t="shared" si="1"/>
        <v>44</v>
      </c>
      <c r="C67" s="194">
        <v>2.15</v>
      </c>
      <c r="D67" s="196">
        <v>100</v>
      </c>
      <c r="E67" s="193">
        <f t="shared" si="2"/>
        <v>2</v>
      </c>
      <c r="F67" s="58"/>
      <c r="G67" s="79"/>
      <c r="H67" s="82"/>
      <c r="I67" s="76"/>
      <c r="J67" s="46"/>
      <c r="K67" s="46"/>
      <c r="L67" s="46"/>
      <c r="M67" s="46"/>
      <c r="N67" s="46"/>
      <c r="O67" s="46"/>
    </row>
    <row r="68" spans="1:15" ht="15" customHeight="1">
      <c r="A68" s="46"/>
      <c r="B68" s="23">
        <f t="shared" si="1"/>
        <v>45</v>
      </c>
      <c r="C68" s="194">
        <v>2.2000000000000002</v>
      </c>
      <c r="D68" s="196">
        <v>101.6</v>
      </c>
      <c r="E68" s="193">
        <f t="shared" si="2"/>
        <v>2.404528869234829</v>
      </c>
      <c r="F68" s="58"/>
      <c r="G68" s="79"/>
      <c r="H68" s="82"/>
      <c r="I68" s="76"/>
      <c r="J68" s="46"/>
      <c r="K68" s="46"/>
      <c r="L68" s="46"/>
      <c r="M68" s="46"/>
      <c r="N68" s="46"/>
      <c r="O68" s="46"/>
    </row>
    <row r="69" spans="1:15" ht="15" customHeight="1">
      <c r="A69" s="46"/>
      <c r="B69" s="23">
        <f t="shared" si="1"/>
        <v>46</v>
      </c>
      <c r="C69" s="194">
        <v>2.25</v>
      </c>
      <c r="D69" s="196">
        <v>102</v>
      </c>
      <c r="E69" s="193">
        <f t="shared" si="2"/>
        <v>2.5178508235883372</v>
      </c>
      <c r="F69" s="58"/>
      <c r="G69" s="79"/>
      <c r="H69" s="82"/>
      <c r="I69" s="76"/>
      <c r="J69" s="46"/>
      <c r="K69" s="46"/>
      <c r="L69" s="46"/>
      <c r="M69" s="46"/>
      <c r="N69" s="46"/>
      <c r="O69" s="46"/>
    </row>
    <row r="70" spans="1:15" ht="15" customHeight="1">
      <c r="A70" s="46"/>
      <c r="B70" s="23">
        <f t="shared" si="1"/>
        <v>47</v>
      </c>
      <c r="C70" s="194">
        <f>C69+0.05</f>
        <v>2.2999999999999998</v>
      </c>
      <c r="D70" s="196">
        <v>100.5</v>
      </c>
      <c r="E70" s="193">
        <f t="shared" si="2"/>
        <v>2.1185074503545818</v>
      </c>
      <c r="F70" s="58"/>
      <c r="G70" s="79"/>
      <c r="H70" s="82"/>
      <c r="I70" s="76"/>
      <c r="J70" s="46"/>
      <c r="K70" s="46"/>
      <c r="L70" s="46"/>
      <c r="M70" s="46"/>
      <c r="N70" s="46"/>
      <c r="O70" s="46"/>
    </row>
    <row r="71" spans="1:15" ht="15" customHeight="1">
      <c r="A71" s="46"/>
      <c r="B71" s="23">
        <f t="shared" si="1"/>
        <v>48</v>
      </c>
      <c r="C71" s="194">
        <f t="shared" ref="C71:C108" si="3">C70+0.05</f>
        <v>2.3499999999999996</v>
      </c>
      <c r="D71" s="196">
        <v>98.6</v>
      </c>
      <c r="E71" s="193">
        <f t="shared" si="2"/>
        <v>1.7022760764047546</v>
      </c>
      <c r="F71" s="58"/>
      <c r="G71" s="79"/>
      <c r="H71" s="82"/>
      <c r="I71" s="76"/>
      <c r="J71" s="46"/>
      <c r="K71" s="46"/>
      <c r="L71" s="46"/>
      <c r="M71" s="46"/>
      <c r="N71" s="46"/>
      <c r="O71" s="46"/>
    </row>
    <row r="72" spans="1:15" ht="15" customHeight="1">
      <c r="A72" s="46"/>
      <c r="B72" s="23">
        <f t="shared" si="1"/>
        <v>49</v>
      </c>
      <c r="C72" s="194">
        <f t="shared" si="3"/>
        <v>2.3999999999999995</v>
      </c>
      <c r="D72" s="196">
        <v>100</v>
      </c>
      <c r="E72" s="193">
        <f t="shared" si="2"/>
        <v>2</v>
      </c>
      <c r="F72" s="58"/>
      <c r="G72" s="46"/>
      <c r="H72" s="46"/>
      <c r="I72" s="46"/>
      <c r="J72" s="46"/>
      <c r="K72" s="46"/>
      <c r="L72" s="46"/>
      <c r="M72" s="46"/>
      <c r="N72" s="46"/>
      <c r="O72" s="46"/>
    </row>
    <row r="73" spans="1:15" ht="15" customHeight="1">
      <c r="A73" s="46"/>
      <c r="B73" s="23">
        <f t="shared" si="1"/>
        <v>50</v>
      </c>
      <c r="C73" s="194">
        <f t="shared" si="3"/>
        <v>2.4499999999999993</v>
      </c>
      <c r="D73" s="196">
        <v>100</v>
      </c>
      <c r="E73" s="193">
        <f t="shared" si="2"/>
        <v>2</v>
      </c>
      <c r="F73" s="58"/>
      <c r="G73" s="46"/>
      <c r="H73" s="46"/>
      <c r="I73" s="46"/>
      <c r="J73" s="46"/>
      <c r="K73" s="46"/>
      <c r="L73" s="46"/>
      <c r="M73" s="46"/>
      <c r="N73" s="46"/>
      <c r="O73" s="46"/>
    </row>
    <row r="74" spans="1:15" ht="15" customHeight="1">
      <c r="A74" s="46"/>
      <c r="B74" s="23">
        <f t="shared" si="1"/>
        <v>51</v>
      </c>
      <c r="C74" s="194">
        <f t="shared" si="3"/>
        <v>2.4999999999999991</v>
      </c>
      <c r="D74" s="196">
        <v>99.6</v>
      </c>
      <c r="E74" s="193">
        <f t="shared" si="2"/>
        <v>1.9099851720428727</v>
      </c>
      <c r="F74" s="58"/>
      <c r="G74" s="46"/>
      <c r="H74" s="46"/>
      <c r="I74" s="46"/>
      <c r="J74" s="46"/>
      <c r="K74" s="46"/>
      <c r="L74" s="46"/>
      <c r="M74" s="46"/>
      <c r="N74" s="46"/>
      <c r="O74" s="46"/>
    </row>
    <row r="75" spans="1:15" ht="15" customHeight="1">
      <c r="A75" s="46"/>
      <c r="B75" s="23">
        <f t="shared" si="1"/>
        <v>52</v>
      </c>
      <c r="C75" s="194">
        <f t="shared" si="3"/>
        <v>2.5499999999999989</v>
      </c>
      <c r="D75" s="196">
        <v>98</v>
      </c>
      <c r="E75" s="193">
        <f t="shared" si="2"/>
        <v>1.588656469448565</v>
      </c>
      <c r="F75" s="58"/>
      <c r="G75" s="46"/>
      <c r="H75" s="46"/>
      <c r="I75" s="46"/>
      <c r="J75" s="46"/>
      <c r="K75" s="46"/>
      <c r="L75" s="46"/>
      <c r="M75" s="46"/>
      <c r="N75" s="46"/>
      <c r="O75" s="46"/>
    </row>
    <row r="76" spans="1:15" ht="15" customHeight="1">
      <c r="A76" s="46"/>
      <c r="B76" s="23">
        <f t="shared" si="1"/>
        <v>53</v>
      </c>
      <c r="C76" s="194">
        <f t="shared" si="3"/>
        <v>2.5999999999999988</v>
      </c>
      <c r="D76" s="196">
        <v>97.3</v>
      </c>
      <c r="E76" s="193">
        <f t="shared" si="2"/>
        <v>1.4656490662778106</v>
      </c>
      <c r="F76" s="58"/>
      <c r="G76" s="46"/>
      <c r="H76" s="46"/>
      <c r="I76" s="46"/>
      <c r="J76" s="46"/>
      <c r="K76" s="46"/>
      <c r="L76" s="46"/>
      <c r="M76" s="46"/>
      <c r="N76" s="46"/>
      <c r="O76" s="46"/>
    </row>
    <row r="77" spans="1:15" ht="15" customHeight="1">
      <c r="A77" s="46"/>
      <c r="B77" s="23">
        <f t="shared" si="1"/>
        <v>54</v>
      </c>
      <c r="C77" s="194">
        <f t="shared" si="3"/>
        <v>2.6499999999999986</v>
      </c>
      <c r="D77" s="196">
        <v>100</v>
      </c>
      <c r="E77" s="193">
        <f t="shared" si="2"/>
        <v>2</v>
      </c>
      <c r="F77" s="58"/>
      <c r="G77" s="46"/>
      <c r="H77" s="46"/>
      <c r="I77" s="46"/>
      <c r="J77" s="46"/>
      <c r="K77" s="46"/>
      <c r="L77" s="46"/>
      <c r="M77" s="46"/>
      <c r="N77" s="46"/>
      <c r="O77" s="46"/>
    </row>
    <row r="78" spans="1:15" ht="15" customHeight="1">
      <c r="A78" s="46"/>
      <c r="B78" s="23">
        <f t="shared" si="1"/>
        <v>55</v>
      </c>
      <c r="C78" s="194">
        <f t="shared" si="3"/>
        <v>2.6999999999999984</v>
      </c>
      <c r="D78" s="196">
        <v>99.8</v>
      </c>
      <c r="E78" s="193">
        <f t="shared" si="2"/>
        <v>1.9544744419116256</v>
      </c>
      <c r="F78" s="58"/>
      <c r="G78" s="46"/>
      <c r="H78" s="46"/>
      <c r="I78" s="46"/>
      <c r="J78" s="46"/>
      <c r="K78" s="46"/>
      <c r="L78" s="46"/>
      <c r="M78" s="46"/>
      <c r="N78" s="46"/>
      <c r="O78" s="46"/>
    </row>
    <row r="79" spans="1:15" ht="15" customHeight="1">
      <c r="A79" s="46"/>
      <c r="B79" s="23">
        <f t="shared" si="1"/>
        <v>56</v>
      </c>
      <c r="C79" s="194">
        <f t="shared" si="3"/>
        <v>2.7499999999999982</v>
      </c>
      <c r="D79" s="196">
        <v>98</v>
      </c>
      <c r="E79" s="193">
        <f t="shared" si="2"/>
        <v>1.588656469448565</v>
      </c>
      <c r="F79" s="58"/>
      <c r="G79" s="46"/>
      <c r="H79" s="46"/>
      <c r="I79" s="46"/>
      <c r="J79" s="46"/>
      <c r="K79" s="46"/>
      <c r="L79" s="46"/>
      <c r="M79" s="46"/>
      <c r="N79" s="46"/>
      <c r="O79" s="46"/>
    </row>
    <row r="80" spans="1:15" ht="15" customHeight="1">
      <c r="A80" s="46"/>
      <c r="B80" s="23">
        <f t="shared" si="1"/>
        <v>57</v>
      </c>
      <c r="C80" s="194">
        <f t="shared" si="3"/>
        <v>2.799999999999998</v>
      </c>
      <c r="D80" s="196">
        <v>97.3</v>
      </c>
      <c r="E80" s="193">
        <f t="shared" si="2"/>
        <v>1.4656490662778106</v>
      </c>
      <c r="F80" s="58"/>
      <c r="G80" s="46"/>
      <c r="H80" s="46"/>
      <c r="I80" s="46"/>
      <c r="J80" s="46"/>
      <c r="K80" s="46"/>
      <c r="L80" s="46"/>
      <c r="M80" s="46"/>
      <c r="N80" s="46"/>
      <c r="O80" s="46"/>
    </row>
    <row r="81" spans="1:15" ht="15" customHeight="1">
      <c r="A81" s="46"/>
      <c r="B81" s="23">
        <f t="shared" si="1"/>
        <v>58</v>
      </c>
      <c r="C81" s="194">
        <f t="shared" si="3"/>
        <v>2.8499999999999979</v>
      </c>
      <c r="D81" s="196">
        <v>98.4</v>
      </c>
      <c r="E81" s="193">
        <f t="shared" si="2"/>
        <v>1.6635275422053437</v>
      </c>
      <c r="F81" s="58"/>
      <c r="G81" s="46"/>
      <c r="H81" s="46"/>
      <c r="I81" s="46"/>
      <c r="J81" s="46"/>
      <c r="K81" s="46"/>
      <c r="L81" s="46"/>
      <c r="M81" s="46"/>
      <c r="N81" s="46"/>
      <c r="O81" s="46"/>
    </row>
    <row r="82" spans="1:15" ht="15" customHeight="1">
      <c r="A82" s="46"/>
      <c r="B82" s="23">
        <f t="shared" si="1"/>
        <v>59</v>
      </c>
      <c r="C82" s="194">
        <f t="shared" si="3"/>
        <v>2.8999999999999977</v>
      </c>
      <c r="D82" s="196">
        <v>100.1</v>
      </c>
      <c r="E82" s="193">
        <f t="shared" si="2"/>
        <v>2.0231589085197976</v>
      </c>
      <c r="F82" s="58"/>
      <c r="G82" s="46"/>
      <c r="H82" s="46"/>
      <c r="I82" s="46"/>
      <c r="J82" s="46"/>
      <c r="K82" s="46"/>
      <c r="L82" s="46"/>
      <c r="M82" s="46"/>
      <c r="N82" s="46"/>
      <c r="O82" s="46"/>
    </row>
    <row r="83" spans="1:15">
      <c r="A83" s="46"/>
      <c r="B83" s="23">
        <f t="shared" si="1"/>
        <v>60</v>
      </c>
      <c r="C83" s="194">
        <f t="shared" si="3"/>
        <v>2.9499999999999975</v>
      </c>
      <c r="D83" s="196">
        <v>101.6</v>
      </c>
      <c r="E83" s="193">
        <f t="shared" si="2"/>
        <v>2.404528869234829</v>
      </c>
      <c r="F83" s="46"/>
      <c r="G83" s="46"/>
      <c r="H83" s="88"/>
      <c r="I83" s="11"/>
      <c r="J83" s="46"/>
      <c r="K83" s="46"/>
      <c r="L83" s="46"/>
      <c r="M83" s="46"/>
      <c r="N83" s="46"/>
      <c r="O83" s="46"/>
    </row>
    <row r="84" spans="1:15">
      <c r="A84" s="46"/>
      <c r="B84" s="23">
        <f t="shared" si="1"/>
        <v>61</v>
      </c>
      <c r="C84" s="194">
        <f t="shared" si="3"/>
        <v>2.9999999999999973</v>
      </c>
      <c r="D84" s="196">
        <v>100.5</v>
      </c>
      <c r="E84" s="193">
        <f t="shared" si="2"/>
        <v>2.1185074503545818</v>
      </c>
      <c r="F84" s="46"/>
      <c r="G84" s="46"/>
      <c r="H84" s="88"/>
      <c r="I84" s="11"/>
      <c r="J84" s="46"/>
      <c r="K84" s="46"/>
      <c r="L84" s="46"/>
      <c r="M84" s="46"/>
      <c r="N84" s="46"/>
      <c r="O84" s="46"/>
    </row>
    <row r="85" spans="1:15">
      <c r="A85" s="46"/>
      <c r="B85" s="178">
        <f t="shared" si="1"/>
        <v>62</v>
      </c>
      <c r="C85" s="194">
        <f t="shared" si="3"/>
        <v>3.0499999999999972</v>
      </c>
      <c r="D85" s="196">
        <v>99</v>
      </c>
      <c r="E85" s="193">
        <f t="shared" si="2"/>
        <v>1.7825018762674922</v>
      </c>
      <c r="F85" s="46"/>
      <c r="G85" s="46"/>
      <c r="H85" s="46"/>
      <c r="I85" s="46"/>
      <c r="J85" s="46"/>
      <c r="K85" s="46"/>
      <c r="L85" s="46"/>
      <c r="M85" s="46"/>
      <c r="N85" s="46"/>
      <c r="O85" s="46"/>
    </row>
    <row r="86" spans="1:15">
      <c r="A86" s="46"/>
      <c r="B86" s="178">
        <f t="shared" si="1"/>
        <v>63</v>
      </c>
      <c r="C86" s="194">
        <f t="shared" si="3"/>
        <v>3.099999999999997</v>
      </c>
      <c r="D86" s="196">
        <v>98</v>
      </c>
      <c r="E86" s="193">
        <f t="shared" si="2"/>
        <v>1.588656469448565</v>
      </c>
      <c r="F86" s="46"/>
      <c r="G86" s="46"/>
      <c r="H86" s="46"/>
      <c r="I86" s="46"/>
      <c r="J86" s="46"/>
      <c r="K86" s="46"/>
      <c r="L86" s="46"/>
      <c r="M86" s="46"/>
      <c r="N86" s="46"/>
      <c r="O86" s="46"/>
    </row>
    <row r="87" spans="1:15">
      <c r="A87" s="46"/>
      <c r="B87" s="178">
        <f t="shared" si="1"/>
        <v>64</v>
      </c>
      <c r="C87" s="194">
        <f t="shared" si="3"/>
        <v>3.1499999999999968</v>
      </c>
      <c r="D87" s="196">
        <v>96.9</v>
      </c>
      <c r="E87" s="193">
        <f t="shared" si="2"/>
        <v>1.3996839920045494</v>
      </c>
      <c r="F87" s="46"/>
      <c r="G87" s="46"/>
      <c r="H87" s="46"/>
      <c r="I87" s="46"/>
      <c r="J87" s="46"/>
      <c r="K87" s="46"/>
      <c r="L87" s="46"/>
      <c r="M87" s="46"/>
      <c r="N87" s="46"/>
      <c r="O87" s="46"/>
    </row>
    <row r="88" spans="1:15">
      <c r="A88" s="46"/>
      <c r="B88" s="178">
        <f t="shared" si="1"/>
        <v>65</v>
      </c>
      <c r="C88" s="194">
        <f t="shared" si="3"/>
        <v>3.1999999999999966</v>
      </c>
      <c r="D88" s="196">
        <v>97</v>
      </c>
      <c r="E88" s="193">
        <f t="shared" si="2"/>
        <v>1.4158915687682758</v>
      </c>
      <c r="F88" s="46"/>
      <c r="G88" s="46"/>
      <c r="H88" s="46"/>
      <c r="I88" s="46"/>
      <c r="J88" s="46"/>
      <c r="K88" s="46"/>
      <c r="L88" s="46"/>
      <c r="M88" s="46"/>
      <c r="N88" s="46"/>
      <c r="O88" s="46"/>
    </row>
    <row r="89" spans="1:15">
      <c r="A89" s="46"/>
      <c r="B89" s="178">
        <f t="shared" si="1"/>
        <v>66</v>
      </c>
      <c r="C89" s="194">
        <f t="shared" si="3"/>
        <v>3.2499999999999964</v>
      </c>
      <c r="D89" s="196">
        <v>95</v>
      </c>
      <c r="E89" s="193">
        <f t="shared" si="2"/>
        <v>1.124682650380699</v>
      </c>
      <c r="F89" s="46"/>
      <c r="G89" s="46"/>
      <c r="H89" s="46"/>
      <c r="I89" s="46"/>
      <c r="J89" s="46"/>
      <c r="K89" s="46"/>
      <c r="L89" s="46"/>
      <c r="M89" s="46"/>
      <c r="N89" s="46"/>
      <c r="O89" s="46"/>
    </row>
    <row r="90" spans="1:15">
      <c r="A90" s="46"/>
      <c r="B90" s="178">
        <f t="shared" ref="B90:B108" si="4">B89+1</f>
        <v>67</v>
      </c>
      <c r="C90" s="194">
        <f t="shared" si="3"/>
        <v>3.2999999999999963</v>
      </c>
      <c r="D90" s="196">
        <v>92.1</v>
      </c>
      <c r="E90" s="193">
        <f t="shared" si="2"/>
        <v>0.8054340686509186</v>
      </c>
      <c r="F90" s="46"/>
      <c r="G90" s="46"/>
      <c r="H90" s="46"/>
      <c r="I90" s="46"/>
      <c r="J90" s="46"/>
      <c r="K90" s="46"/>
      <c r="L90" s="46"/>
      <c r="M90" s="46"/>
      <c r="N90" s="46"/>
      <c r="O90" s="46"/>
    </row>
    <row r="91" spans="1:15">
      <c r="A91" s="46"/>
      <c r="B91" s="178">
        <f t="shared" si="4"/>
        <v>68</v>
      </c>
      <c r="C91" s="194">
        <f t="shared" si="3"/>
        <v>3.3499999999999961</v>
      </c>
      <c r="D91" s="196">
        <v>90.8</v>
      </c>
      <c r="E91" s="193">
        <f t="shared" si="2"/>
        <v>0.69347370090506411</v>
      </c>
      <c r="F91" s="46"/>
      <c r="G91" s="46"/>
      <c r="H91" s="46"/>
      <c r="I91" s="46"/>
      <c r="J91" s="46"/>
      <c r="K91" s="46"/>
      <c r="L91" s="46"/>
      <c r="M91" s="46"/>
      <c r="N91" s="46"/>
      <c r="O91" s="46"/>
    </row>
    <row r="92" spans="1:15">
      <c r="A92" s="46"/>
      <c r="B92" s="178">
        <f t="shared" si="4"/>
        <v>69</v>
      </c>
      <c r="C92" s="194">
        <f t="shared" si="3"/>
        <v>3.3999999999999959</v>
      </c>
      <c r="D92" s="196">
        <v>89.4</v>
      </c>
      <c r="E92" s="193">
        <f t="shared" si="2"/>
        <v>0.59024184533327828</v>
      </c>
      <c r="F92" s="46"/>
      <c r="G92" s="46"/>
      <c r="H92" s="46"/>
      <c r="I92" s="46"/>
      <c r="J92" s="46"/>
      <c r="K92" s="46"/>
      <c r="L92" s="46"/>
      <c r="M92" s="46"/>
      <c r="N92" s="46"/>
      <c r="O92" s="46"/>
    </row>
    <row r="93" spans="1:15">
      <c r="A93" s="46"/>
      <c r="B93" s="178">
        <f t="shared" si="4"/>
        <v>70</v>
      </c>
      <c r="C93" s="194">
        <f t="shared" si="3"/>
        <v>3.4499999999999957</v>
      </c>
      <c r="D93" s="196">
        <v>88</v>
      </c>
      <c r="E93" s="193">
        <f t="shared" si="2"/>
        <v>0.50237728630191725</v>
      </c>
      <c r="F93" s="46"/>
      <c r="G93" s="46"/>
      <c r="H93" s="46"/>
      <c r="I93" s="46"/>
      <c r="J93" s="46"/>
      <c r="K93" s="46"/>
      <c r="L93" s="46"/>
      <c r="M93" s="46"/>
      <c r="N93" s="46"/>
      <c r="O93" s="46"/>
    </row>
    <row r="94" spans="1:15">
      <c r="A94" s="46"/>
      <c r="B94" s="178">
        <f t="shared" si="4"/>
        <v>71</v>
      </c>
      <c r="C94" s="194">
        <f t="shared" si="3"/>
        <v>3.4999999999999956</v>
      </c>
      <c r="D94" s="196">
        <v>87</v>
      </c>
      <c r="E94" s="193">
        <f t="shared" si="2"/>
        <v>0.44774422771366768</v>
      </c>
      <c r="F94" s="46"/>
      <c r="G94" s="46"/>
      <c r="H94" s="46"/>
      <c r="I94" s="46"/>
      <c r="J94" s="46"/>
      <c r="K94" s="46"/>
      <c r="L94" s="46"/>
      <c r="M94" s="46"/>
      <c r="N94" s="46"/>
      <c r="O94" s="46"/>
    </row>
    <row r="95" spans="1:15">
      <c r="A95" s="46"/>
      <c r="B95" s="178">
        <f t="shared" si="4"/>
        <v>72</v>
      </c>
      <c r="C95" s="194">
        <f t="shared" si="3"/>
        <v>3.5499999999999954</v>
      </c>
      <c r="D95" s="196">
        <v>85.9</v>
      </c>
      <c r="E95" s="193">
        <f t="shared" si="2"/>
        <v>0.39448454722297138</v>
      </c>
      <c r="F95" s="46"/>
      <c r="G95" s="46"/>
      <c r="H95" s="46"/>
      <c r="I95" s="46"/>
      <c r="J95" s="46"/>
      <c r="K95" s="46"/>
      <c r="L95" s="46"/>
      <c r="M95" s="46"/>
      <c r="N95" s="46"/>
      <c r="O95" s="46"/>
    </row>
    <row r="96" spans="1:15">
      <c r="A96" s="46"/>
      <c r="B96" s="178">
        <f t="shared" si="4"/>
        <v>73</v>
      </c>
      <c r="C96" s="194">
        <f t="shared" si="3"/>
        <v>3.5999999999999952</v>
      </c>
      <c r="D96" s="196">
        <v>85</v>
      </c>
      <c r="E96" s="193">
        <f t="shared" si="2"/>
        <v>0.3556558820077847</v>
      </c>
      <c r="F96" s="46"/>
      <c r="G96" s="46"/>
      <c r="H96" s="46"/>
      <c r="I96" s="46"/>
      <c r="J96" s="46"/>
      <c r="K96" s="46"/>
      <c r="L96" s="46"/>
      <c r="M96" s="46"/>
      <c r="N96" s="46"/>
      <c r="O96" s="46"/>
    </row>
    <row r="97" spans="1:15">
      <c r="A97" s="46"/>
      <c r="B97" s="178">
        <f t="shared" si="4"/>
        <v>74</v>
      </c>
      <c r="C97" s="194">
        <f t="shared" si="3"/>
        <v>3.649999999999995</v>
      </c>
      <c r="D97" s="196">
        <v>82.5</v>
      </c>
      <c r="E97" s="193">
        <f t="shared" si="2"/>
        <v>0.26670428643266519</v>
      </c>
      <c r="F97" s="46"/>
      <c r="G97" s="46"/>
      <c r="H97" s="46"/>
      <c r="I97" s="46"/>
      <c r="J97" s="46"/>
      <c r="K97" s="46"/>
      <c r="L97" s="46"/>
      <c r="M97" s="46"/>
      <c r="N97" s="46"/>
      <c r="O97" s="46"/>
    </row>
    <row r="98" spans="1:15">
      <c r="A98" s="46"/>
      <c r="B98" s="178">
        <f t="shared" si="4"/>
        <v>75</v>
      </c>
      <c r="C98" s="194">
        <f t="shared" si="3"/>
        <v>3.6999999999999948</v>
      </c>
      <c r="D98" s="196">
        <v>81.7</v>
      </c>
      <c r="E98" s="193">
        <f t="shared" si="2"/>
        <v>0.24323720012927363</v>
      </c>
      <c r="F98" s="46"/>
      <c r="G98" s="46"/>
      <c r="H98" s="46"/>
      <c r="I98" s="46"/>
      <c r="J98" s="46"/>
      <c r="K98" s="46"/>
      <c r="L98" s="46"/>
      <c r="M98" s="46"/>
      <c r="N98" s="46"/>
      <c r="O98" s="46"/>
    </row>
    <row r="99" spans="1:15">
      <c r="A99" s="46"/>
      <c r="B99" s="178">
        <f t="shared" si="4"/>
        <v>76</v>
      </c>
      <c r="C99" s="194">
        <f t="shared" si="3"/>
        <v>3.7499999999999947</v>
      </c>
      <c r="D99" s="196">
        <v>80.5</v>
      </c>
      <c r="E99" s="193">
        <f t="shared" si="2"/>
        <v>0.21185074503545828</v>
      </c>
      <c r="F99" s="46"/>
      <c r="G99" s="46"/>
      <c r="H99" s="46"/>
      <c r="I99" s="46"/>
      <c r="J99" s="46"/>
      <c r="K99" s="46"/>
      <c r="L99" s="46"/>
      <c r="M99" s="46"/>
      <c r="N99" s="46"/>
      <c r="O99" s="46"/>
    </row>
    <row r="100" spans="1:15">
      <c r="A100" s="46"/>
      <c r="B100" s="178">
        <f t="shared" si="4"/>
        <v>77</v>
      </c>
      <c r="C100" s="194">
        <f t="shared" si="3"/>
        <v>3.7999999999999945</v>
      </c>
      <c r="D100" s="196">
        <v>79.2</v>
      </c>
      <c r="E100" s="193">
        <f t="shared" si="2"/>
        <v>0.18240216787118219</v>
      </c>
      <c r="F100" s="46"/>
      <c r="G100" s="46"/>
      <c r="H100" s="46"/>
      <c r="I100" s="46"/>
      <c r="J100" s="46"/>
      <c r="K100" s="46"/>
      <c r="L100" s="46"/>
      <c r="M100" s="46"/>
      <c r="N100" s="46"/>
      <c r="O100" s="46"/>
    </row>
    <row r="101" spans="1:15">
      <c r="A101" s="46"/>
      <c r="B101" s="178">
        <f t="shared" si="4"/>
        <v>78</v>
      </c>
      <c r="C101" s="194">
        <f t="shared" si="3"/>
        <v>3.8499999999999943</v>
      </c>
      <c r="D101" s="196">
        <v>79.099999999999994</v>
      </c>
      <c r="E101" s="193">
        <f t="shared" si="2"/>
        <v>0.18031422752119131</v>
      </c>
      <c r="F101" s="46"/>
      <c r="G101" s="46"/>
      <c r="H101" s="46"/>
      <c r="I101" s="46"/>
      <c r="J101" s="46"/>
      <c r="K101" s="46"/>
      <c r="L101" s="46"/>
      <c r="M101" s="46"/>
      <c r="N101" s="46"/>
      <c r="O101" s="46"/>
    </row>
    <row r="102" spans="1:15">
      <c r="A102" s="46"/>
      <c r="B102" s="178">
        <f t="shared" si="4"/>
        <v>79</v>
      </c>
      <c r="C102" s="194">
        <f t="shared" si="3"/>
        <v>3.8999999999999941</v>
      </c>
      <c r="D102" s="196">
        <v>76.900000000000006</v>
      </c>
      <c r="E102" s="193">
        <f t="shared" si="2"/>
        <v>0.13996839920045479</v>
      </c>
      <c r="F102" s="46"/>
      <c r="G102" s="46"/>
      <c r="H102" s="46"/>
      <c r="I102" s="46"/>
      <c r="J102" s="46"/>
      <c r="K102" s="46"/>
      <c r="L102" s="46"/>
      <c r="M102" s="46"/>
      <c r="N102" s="46"/>
      <c r="O102" s="46"/>
    </row>
    <row r="103" spans="1:15">
      <c r="A103" s="46"/>
      <c r="B103" s="178">
        <f t="shared" si="4"/>
        <v>80</v>
      </c>
      <c r="C103" s="194">
        <f t="shared" si="3"/>
        <v>3.949999999999994</v>
      </c>
      <c r="D103" s="196">
        <v>75.900000000000006</v>
      </c>
      <c r="E103" s="193">
        <f t="shared" si="2"/>
        <v>0.124746967096484</v>
      </c>
      <c r="F103" s="46"/>
      <c r="G103" s="46"/>
      <c r="H103" s="46"/>
      <c r="I103" s="46"/>
      <c r="J103" s="46"/>
      <c r="K103" s="46"/>
      <c r="L103" s="46"/>
      <c r="M103" s="46"/>
      <c r="N103" s="46"/>
      <c r="O103" s="46"/>
    </row>
    <row r="104" spans="1:15">
      <c r="A104" s="46"/>
      <c r="B104" s="178">
        <f t="shared" si="4"/>
        <v>81</v>
      </c>
      <c r="C104" s="194">
        <f t="shared" si="3"/>
        <v>3.9999999999999938</v>
      </c>
      <c r="D104" s="196">
        <v>75.3</v>
      </c>
      <c r="E104" s="193">
        <f t="shared" si="2"/>
        <v>0.11642064355417425</v>
      </c>
      <c r="F104" s="46"/>
      <c r="G104" s="46"/>
      <c r="H104" s="46"/>
      <c r="I104" s="46"/>
      <c r="J104" s="46"/>
      <c r="K104" s="46"/>
      <c r="L104" s="46"/>
      <c r="M104" s="46"/>
      <c r="N104" s="46"/>
      <c r="O104" s="46"/>
    </row>
    <row r="105" spans="1:15">
      <c r="A105" s="46"/>
      <c r="B105" s="178">
        <f t="shared" si="4"/>
        <v>82</v>
      </c>
      <c r="C105" s="194">
        <f t="shared" si="3"/>
        <v>4.0499999999999936</v>
      </c>
      <c r="D105" s="196">
        <v>74.3</v>
      </c>
      <c r="E105" s="193">
        <f t="shared" si="2"/>
        <v>0.10376000778579222</v>
      </c>
      <c r="F105" s="46"/>
      <c r="G105" s="46"/>
      <c r="H105" s="46"/>
      <c r="I105" s="46"/>
      <c r="J105" s="46"/>
      <c r="K105" s="46"/>
      <c r="L105" s="46"/>
      <c r="M105" s="46"/>
      <c r="N105" s="46"/>
      <c r="O105" s="46"/>
    </row>
    <row r="106" spans="1:15">
      <c r="A106" s="46"/>
      <c r="B106" s="178">
        <f t="shared" si="4"/>
        <v>83</v>
      </c>
      <c r="C106" s="194">
        <f t="shared" si="3"/>
        <v>4.0999999999999934</v>
      </c>
      <c r="D106" s="196">
        <v>73.099999999999994</v>
      </c>
      <c r="E106" s="193">
        <f t="shared" si="2"/>
        <v>9.0371188874984534E-2</v>
      </c>
      <c r="F106" s="46"/>
      <c r="G106" s="46"/>
      <c r="H106" s="46"/>
      <c r="I106" s="46"/>
      <c r="J106" s="46"/>
      <c r="K106" s="46"/>
      <c r="L106" s="46"/>
      <c r="M106" s="46"/>
      <c r="N106" s="46"/>
      <c r="O106" s="46"/>
    </row>
    <row r="107" spans="1:15">
      <c r="A107" s="46"/>
      <c r="B107" s="178">
        <f t="shared" si="4"/>
        <v>84</v>
      </c>
      <c r="C107" s="194">
        <f t="shared" si="3"/>
        <v>4.1499999999999932</v>
      </c>
      <c r="D107" s="196">
        <v>74.2</v>
      </c>
      <c r="E107" s="193">
        <f t="shared" si="2"/>
        <v>0.10257227679827299</v>
      </c>
      <c r="F107" s="46"/>
      <c r="G107" s="46"/>
      <c r="H107" s="46"/>
      <c r="I107" s="46"/>
      <c r="J107" s="46"/>
      <c r="K107" s="46"/>
      <c r="L107" s="46"/>
      <c r="M107" s="46"/>
      <c r="N107" s="46"/>
      <c r="O107" s="46"/>
    </row>
    <row r="108" spans="1:15">
      <c r="A108" s="46"/>
      <c r="B108" s="178">
        <f t="shared" si="4"/>
        <v>85</v>
      </c>
      <c r="C108" s="194">
        <f t="shared" si="3"/>
        <v>4.1999999999999931</v>
      </c>
      <c r="D108" s="196">
        <v>72</v>
      </c>
      <c r="E108" s="193">
        <f t="shared" si="2"/>
        <v>7.9621434110699538E-2</v>
      </c>
      <c r="F108" s="46"/>
      <c r="G108" s="46"/>
      <c r="H108" s="46"/>
      <c r="I108" s="46"/>
      <c r="J108" s="46"/>
      <c r="K108" s="46"/>
      <c r="L108" s="46"/>
      <c r="M108" s="46"/>
      <c r="N108" s="46"/>
      <c r="O108" s="46"/>
    </row>
    <row r="109" spans="1:15">
      <c r="A109" s="46"/>
      <c r="B109" s="46"/>
      <c r="C109" s="46"/>
      <c r="D109" s="46"/>
      <c r="E109" s="46"/>
      <c r="F109" s="46"/>
      <c r="G109" s="46"/>
      <c r="H109" s="46"/>
      <c r="I109" s="46"/>
      <c r="J109" s="46"/>
      <c r="K109" s="46"/>
      <c r="L109" s="46"/>
      <c r="M109" s="46"/>
      <c r="N109" s="46"/>
      <c r="O109" s="46"/>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199"/>
  <sheetViews>
    <sheetView topLeftCell="A71" zoomScale="110" zoomScaleNormal="110" workbookViewId="0">
      <selection activeCell="E84" sqref="E84"/>
    </sheetView>
  </sheetViews>
  <sheetFormatPr defaultColWidth="9.1796875" defaultRowHeight="14.5"/>
  <cols>
    <col min="1" max="1" width="9.1796875" style="40"/>
    <col min="2" max="2" width="12.7265625" style="40" customWidth="1"/>
    <col min="3" max="3" width="10.453125" style="40" customWidth="1"/>
    <col min="4" max="4" width="11.7265625" style="40" customWidth="1"/>
    <col min="5" max="5" width="11" style="40" customWidth="1"/>
    <col min="6" max="6" width="14.1796875" style="40" customWidth="1"/>
    <col min="7" max="7" width="12.7265625" style="40" customWidth="1"/>
    <col min="8" max="8" width="10.453125" style="40" customWidth="1"/>
    <col min="9" max="9" width="11.7265625" style="40" customWidth="1"/>
    <col min="10" max="10" width="8.90625" style="40" customWidth="1"/>
    <col min="11" max="11" width="12.26953125" style="40" customWidth="1"/>
    <col min="12" max="12" width="12.7265625" style="40" customWidth="1"/>
    <col min="13" max="13" width="10.453125" style="40" customWidth="1"/>
    <col min="14" max="14" width="13" style="40" customWidth="1"/>
    <col min="15" max="15" width="11" style="40" customWidth="1"/>
    <col min="16" max="16" width="14.1796875" style="40" customWidth="1"/>
    <col min="17" max="17" width="12.7265625" style="40" customWidth="1"/>
    <col min="18" max="18" width="8.6328125" style="40" customWidth="1"/>
    <col min="19" max="19" width="11.7265625" style="40" customWidth="1"/>
    <col min="20" max="20" width="11" style="40" customWidth="1"/>
    <col min="21" max="21" width="14.1796875" style="40" customWidth="1"/>
    <col min="22" max="16384" width="9.1796875" style="40"/>
  </cols>
  <sheetData>
    <row r="1" spans="1:22">
      <c r="A1" s="46"/>
      <c r="B1" s="46"/>
      <c r="C1" s="46"/>
      <c r="D1" s="46"/>
      <c r="E1" s="46"/>
      <c r="F1" s="46"/>
      <c r="G1" s="46"/>
      <c r="H1" s="46"/>
      <c r="I1" s="46"/>
      <c r="J1" s="46"/>
      <c r="K1" s="46"/>
      <c r="L1" s="46"/>
      <c r="M1" s="46"/>
      <c r="N1" s="46"/>
      <c r="O1" s="46"/>
      <c r="P1" s="46"/>
      <c r="Q1" s="46"/>
      <c r="R1" s="46"/>
      <c r="S1" s="46"/>
      <c r="T1" s="46"/>
      <c r="U1" s="46"/>
      <c r="V1" s="46"/>
    </row>
    <row r="2" spans="1:22">
      <c r="A2" s="46"/>
      <c r="B2" s="7"/>
      <c r="C2" s="8"/>
      <c r="D2" s="8"/>
      <c r="E2" s="8"/>
      <c r="F2" s="8"/>
      <c r="G2" s="8"/>
      <c r="H2" s="8"/>
      <c r="I2" s="8"/>
      <c r="J2" s="8"/>
      <c r="K2" s="8"/>
      <c r="L2" s="8"/>
      <c r="M2" s="8"/>
      <c r="N2" s="8"/>
      <c r="O2" s="8"/>
      <c r="P2" s="8"/>
      <c r="Q2" s="8"/>
      <c r="R2" s="8"/>
      <c r="S2" s="8"/>
      <c r="T2" s="8"/>
      <c r="U2" s="9"/>
      <c r="V2" s="46"/>
    </row>
    <row r="3" spans="1:22">
      <c r="A3" s="46"/>
      <c r="B3" s="10"/>
      <c r="C3" s="11"/>
      <c r="D3" s="11"/>
      <c r="E3" s="11"/>
      <c r="F3" s="11"/>
      <c r="G3" s="11"/>
      <c r="H3" s="11" t="s">
        <v>2</v>
      </c>
      <c r="I3" s="11"/>
      <c r="J3" s="11"/>
      <c r="K3" s="11"/>
      <c r="L3" s="11"/>
      <c r="M3" s="11"/>
      <c r="N3" s="11"/>
      <c r="O3" s="11"/>
      <c r="P3" s="11"/>
      <c r="Q3" s="11"/>
      <c r="R3" s="11"/>
      <c r="S3" s="11"/>
      <c r="T3" s="11"/>
      <c r="U3" s="12"/>
      <c r="V3" s="46"/>
    </row>
    <row r="4" spans="1:22">
      <c r="A4" s="46"/>
      <c r="B4" s="10"/>
      <c r="C4" s="11"/>
      <c r="D4" s="11"/>
      <c r="E4" s="11"/>
      <c r="F4" s="11"/>
      <c r="G4" s="11"/>
      <c r="H4" s="11" t="s">
        <v>4</v>
      </c>
      <c r="I4" s="11"/>
      <c r="J4" s="11"/>
      <c r="K4" s="11"/>
      <c r="L4" s="11"/>
      <c r="M4" s="11"/>
      <c r="N4" s="11"/>
      <c r="O4" s="11"/>
      <c r="P4" s="11"/>
      <c r="Q4" s="11"/>
      <c r="R4" s="11"/>
      <c r="S4" s="11"/>
      <c r="T4" s="11"/>
      <c r="U4" s="12"/>
      <c r="V4" s="46"/>
    </row>
    <row r="5" spans="1:22">
      <c r="A5" s="46"/>
      <c r="B5" s="10"/>
      <c r="C5" s="11"/>
      <c r="D5" s="11"/>
      <c r="E5" s="11"/>
      <c r="F5" s="11"/>
      <c r="G5" s="11"/>
      <c r="H5" s="11"/>
      <c r="I5" s="11"/>
      <c r="J5" s="11"/>
      <c r="K5" s="11"/>
      <c r="L5" s="11"/>
      <c r="M5" s="11"/>
      <c r="N5" s="11"/>
      <c r="O5" s="11"/>
      <c r="P5" s="11"/>
      <c r="Q5" s="11"/>
      <c r="R5" s="11"/>
      <c r="S5" s="11"/>
      <c r="T5" s="11"/>
      <c r="U5" s="12"/>
      <c r="V5" s="46"/>
    </row>
    <row r="6" spans="1:22">
      <c r="A6" s="46"/>
      <c r="B6" s="10"/>
      <c r="C6" s="11"/>
      <c r="D6" s="11"/>
      <c r="E6" s="11"/>
      <c r="F6" s="11"/>
      <c r="G6" s="11"/>
      <c r="H6" s="11"/>
      <c r="I6" s="11"/>
      <c r="J6" s="11"/>
      <c r="K6" s="11"/>
      <c r="L6" s="11"/>
      <c r="M6" s="11"/>
      <c r="N6" s="11"/>
      <c r="O6" s="11"/>
      <c r="P6" s="11"/>
      <c r="Q6" s="11"/>
      <c r="R6" s="11"/>
      <c r="S6" s="11"/>
      <c r="T6" s="11"/>
      <c r="U6" s="12"/>
      <c r="V6" s="46"/>
    </row>
    <row r="7" spans="1:22">
      <c r="A7" s="46"/>
      <c r="B7" s="10"/>
      <c r="C7" s="13" t="s">
        <v>0</v>
      </c>
      <c r="D7" s="11"/>
      <c r="E7" s="11"/>
      <c r="F7" s="11"/>
      <c r="G7" s="46"/>
      <c r="H7" s="46"/>
      <c r="I7" s="733" t="s">
        <v>559</v>
      </c>
      <c r="J7" s="152"/>
      <c r="K7" s="153" t="s">
        <v>897</v>
      </c>
      <c r="L7" s="11"/>
      <c r="M7" s="11"/>
      <c r="N7" s="11"/>
      <c r="O7" s="11"/>
      <c r="P7" s="11"/>
      <c r="Q7" s="14" t="s">
        <v>5</v>
      </c>
      <c r="R7" s="15">
        <f>'Program Overview'!K6</f>
        <v>7</v>
      </c>
      <c r="S7" s="16">
        <f>'Program Overview'!M6</f>
        <v>43752</v>
      </c>
      <c r="T7" s="11"/>
      <c r="U7" s="12"/>
      <c r="V7" s="46"/>
    </row>
    <row r="8" spans="1:22">
      <c r="A8" s="46"/>
      <c r="B8" s="10"/>
      <c r="C8" s="13" t="s">
        <v>1</v>
      </c>
      <c r="D8" s="11"/>
      <c r="E8" s="11"/>
      <c r="F8" s="11"/>
      <c r="G8" s="11"/>
      <c r="H8" s="11"/>
      <c r="I8" s="11"/>
      <c r="J8" s="11"/>
      <c r="K8" s="11"/>
      <c r="L8" s="11"/>
      <c r="M8" s="11"/>
      <c r="N8" s="11"/>
      <c r="O8" s="11"/>
      <c r="P8" s="11"/>
      <c r="Q8" s="11"/>
      <c r="R8" s="11"/>
      <c r="S8" s="11"/>
      <c r="T8" s="11"/>
      <c r="U8" s="12"/>
      <c r="V8" s="46"/>
    </row>
    <row r="9" spans="1:22">
      <c r="A9" s="46"/>
      <c r="B9" s="17"/>
      <c r="C9" s="18"/>
      <c r="D9" s="18"/>
      <c r="E9" s="18"/>
      <c r="F9" s="18"/>
      <c r="G9" s="18"/>
      <c r="H9" s="18"/>
      <c r="I9" s="18"/>
      <c r="J9" s="18"/>
      <c r="K9" s="18"/>
      <c r="L9" s="18"/>
      <c r="M9" s="18"/>
      <c r="N9" s="18"/>
      <c r="O9" s="18"/>
      <c r="P9" s="18"/>
      <c r="Q9" s="18"/>
      <c r="R9" s="18"/>
      <c r="S9" s="18"/>
      <c r="T9" s="18"/>
      <c r="U9" s="19"/>
      <c r="V9" s="46"/>
    </row>
    <row r="10" spans="1:22">
      <c r="A10" s="46"/>
      <c r="B10" s="110"/>
      <c r="C10" s="105" t="s">
        <v>197</v>
      </c>
      <c r="D10" s="105"/>
      <c r="E10" s="151">
        <f>'Passby Data Set 2'!E9</f>
        <v>2</v>
      </c>
      <c r="F10" s="105"/>
      <c r="G10" s="583" t="s">
        <v>247</v>
      </c>
      <c r="H10" s="105"/>
      <c r="I10" s="105"/>
      <c r="J10" s="582"/>
      <c r="K10" s="207"/>
      <c r="L10" s="59"/>
      <c r="M10" s="59"/>
      <c r="N10" s="59"/>
      <c r="O10" s="59"/>
      <c r="P10" s="59" t="s">
        <v>203</v>
      </c>
      <c r="Q10" s="59"/>
      <c r="R10" s="59"/>
      <c r="S10" s="59"/>
      <c r="T10" s="59"/>
      <c r="U10" s="227"/>
      <c r="V10" s="46"/>
    </row>
    <row r="11" spans="1:22">
      <c r="A11" s="46"/>
      <c r="B11" s="110"/>
      <c r="C11" s="105" t="s">
        <v>9</v>
      </c>
      <c r="D11" s="105"/>
      <c r="E11" s="111" t="str">
        <f>'Passby Data Set 2'!E10</f>
        <v>Thalys PBKA</v>
      </c>
      <c r="F11" s="105"/>
      <c r="G11" s="581"/>
      <c r="H11" s="105"/>
      <c r="I11" s="105"/>
      <c r="J11" s="582"/>
      <c r="K11" s="581"/>
      <c r="L11" s="105"/>
      <c r="M11" s="105"/>
      <c r="N11" s="105"/>
      <c r="O11" s="105"/>
      <c r="P11" s="105"/>
      <c r="Q11" s="105"/>
      <c r="R11" s="105"/>
      <c r="S11" s="105"/>
      <c r="T11" s="105"/>
      <c r="U11" s="582"/>
      <c r="V11" s="46"/>
    </row>
    <row r="12" spans="1:22" ht="15">
      <c r="A12" s="46"/>
      <c r="B12" s="106" t="s">
        <v>800</v>
      </c>
      <c r="C12" s="8"/>
      <c r="D12" s="8"/>
      <c r="E12" s="8"/>
      <c r="F12" s="8"/>
      <c r="G12" s="8"/>
      <c r="H12" s="8"/>
      <c r="I12" s="8"/>
      <c r="J12" s="8"/>
      <c r="K12" s="127" t="s">
        <v>287</v>
      </c>
      <c r="L12" s="128"/>
      <c r="M12" s="128"/>
      <c r="N12" s="128"/>
      <c r="O12" s="128"/>
      <c r="P12" s="8"/>
      <c r="Q12" s="8"/>
      <c r="R12" s="8"/>
      <c r="S12" s="8"/>
      <c r="T12" s="8"/>
      <c r="U12" s="9"/>
      <c r="V12" s="46"/>
    </row>
    <row r="13" spans="1:22" ht="15">
      <c r="A13" s="46"/>
      <c r="B13" s="10" t="s">
        <v>342</v>
      </c>
      <c r="C13" s="11"/>
      <c r="D13" s="15">
        <f>'Passby Data Set 2'!H22</f>
        <v>296</v>
      </c>
      <c r="E13" s="15" t="s">
        <v>242</v>
      </c>
      <c r="F13" s="107">
        <f>D13*(1/3600)*(1000/1)</f>
        <v>82.222222222222229</v>
      </c>
      <c r="G13" s="15" t="s">
        <v>243</v>
      </c>
      <c r="H13" s="11"/>
      <c r="I13" s="11"/>
      <c r="J13" s="11"/>
      <c r="K13" s="129" t="s">
        <v>288</v>
      </c>
      <c r="L13" s="125"/>
      <c r="M13" s="125"/>
      <c r="N13" s="125"/>
      <c r="O13" s="125"/>
      <c r="P13" s="11"/>
      <c r="Q13" s="11"/>
      <c r="R13" s="11"/>
      <c r="S13" s="11"/>
      <c r="T13" s="11"/>
      <c r="U13" s="12"/>
      <c r="V13" s="46"/>
    </row>
    <row r="14" spans="1:22">
      <c r="A14" s="46"/>
      <c r="B14" s="10" t="s">
        <v>244</v>
      </c>
      <c r="C14" s="11"/>
      <c r="D14" s="15">
        <v>200.19</v>
      </c>
      <c r="E14" s="15" t="s">
        <v>15</v>
      </c>
      <c r="F14" s="11" t="s">
        <v>381</v>
      </c>
      <c r="G14" s="11"/>
      <c r="H14" s="11"/>
      <c r="I14" s="11"/>
      <c r="J14" s="11"/>
      <c r="K14" s="154" t="s">
        <v>289</v>
      </c>
      <c r="L14" s="125"/>
      <c r="M14" s="125"/>
      <c r="N14" s="125"/>
      <c r="O14" s="125"/>
      <c r="P14" s="11"/>
      <c r="Q14" s="11"/>
      <c r="R14" s="11"/>
      <c r="S14" s="11"/>
      <c r="T14" s="11"/>
      <c r="U14" s="12"/>
      <c r="V14" s="46"/>
    </row>
    <row r="15" spans="1:22" ht="16.5">
      <c r="A15" s="46"/>
      <c r="B15" s="10" t="s">
        <v>246</v>
      </c>
      <c r="C15" s="11"/>
      <c r="D15" s="15">
        <f>D14/F13</f>
        <v>2.434743243243243</v>
      </c>
      <c r="E15" s="15" t="s">
        <v>237</v>
      </c>
      <c r="F15" s="76" t="s">
        <v>248</v>
      </c>
      <c r="G15" s="11"/>
      <c r="H15" s="11"/>
      <c r="I15" s="11"/>
      <c r="J15" s="11"/>
      <c r="K15" s="10" t="s">
        <v>290</v>
      </c>
      <c r="L15" s="125"/>
      <c r="M15" s="125"/>
      <c r="N15" s="125"/>
      <c r="O15" s="125"/>
      <c r="P15" s="11"/>
      <c r="Q15" s="11"/>
      <c r="R15" s="11"/>
      <c r="S15" s="11"/>
      <c r="T15" s="11"/>
      <c r="U15" s="12"/>
      <c r="V15" s="46"/>
    </row>
    <row r="16" spans="1:22"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ht="16.5">
      <c r="A17" s="46"/>
      <c r="B17" s="10" t="s">
        <v>298</v>
      </c>
      <c r="C17" s="11"/>
      <c r="D17" s="107">
        <f>'Passby Data Set 2'!$C$92-'Passby Data Set 2'!$C$36</f>
        <v>2.7999999999999958</v>
      </c>
      <c r="E17" s="15" t="s">
        <v>237</v>
      </c>
      <c r="F17" s="76" t="s">
        <v>250</v>
      </c>
      <c r="G17" s="11"/>
      <c r="H17" s="11"/>
      <c r="I17" s="11"/>
      <c r="J17" s="11"/>
      <c r="K17" s="116" t="s">
        <v>299</v>
      </c>
      <c r="L17" s="125"/>
      <c r="M17" s="125"/>
      <c r="N17" s="125"/>
      <c r="O17" s="125"/>
      <c r="P17" s="11"/>
      <c r="Q17" s="11"/>
      <c r="R17" s="11"/>
      <c r="S17" s="11"/>
      <c r="T17" s="11"/>
      <c r="U17" s="12"/>
      <c r="V17" s="46"/>
    </row>
    <row r="18" spans="1:22"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ht="16.5">
      <c r="A20" s="46"/>
      <c r="B20" s="10"/>
      <c r="C20" s="11"/>
      <c r="D20" s="15"/>
      <c r="E20" s="15"/>
      <c r="F20" s="11" t="s">
        <v>798</v>
      </c>
      <c r="G20" s="11"/>
      <c r="H20" s="11"/>
      <c r="I20" s="11"/>
      <c r="J20" s="11"/>
      <c r="K20" s="186" t="s">
        <v>369</v>
      </c>
      <c r="L20" s="11"/>
      <c r="M20" s="11"/>
      <c r="N20" s="11"/>
      <c r="O20" s="11"/>
      <c r="P20" s="11"/>
      <c r="Q20" s="11"/>
      <c r="R20" s="11"/>
      <c r="S20" s="11"/>
      <c r="T20" s="11"/>
      <c r="U20" s="12"/>
      <c r="V20" s="46"/>
    </row>
    <row r="21" spans="1:22"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c r="A22" s="46"/>
      <c r="B22" s="11"/>
      <c r="C22" s="11"/>
      <c r="D22" s="15"/>
      <c r="E22" s="15"/>
      <c r="F22" s="11"/>
      <c r="G22" s="11"/>
      <c r="H22" s="11"/>
      <c r="I22" s="11"/>
      <c r="J22" s="11"/>
      <c r="K22" s="46"/>
      <c r="L22" s="46"/>
      <c r="M22" s="46"/>
      <c r="N22" s="46"/>
      <c r="O22" s="46"/>
      <c r="P22" s="46"/>
      <c r="Q22" s="46"/>
      <c r="R22" s="46"/>
      <c r="S22" s="46"/>
      <c r="T22" s="46"/>
      <c r="U22" s="46"/>
      <c r="V22" s="46"/>
    </row>
    <row r="23" spans="1:22" ht="16.5">
      <c r="A23" s="46"/>
      <c r="B23" s="106" t="s">
        <v>206</v>
      </c>
      <c r="C23" s="8"/>
      <c r="D23" s="8"/>
      <c r="E23" s="8"/>
      <c r="F23" s="8"/>
      <c r="G23" s="8"/>
      <c r="H23" s="8"/>
      <c r="I23" s="8"/>
      <c r="J23" s="8"/>
      <c r="K23" s="8"/>
      <c r="L23" s="8"/>
      <c r="M23" s="8"/>
      <c r="N23" s="8"/>
      <c r="O23" s="8"/>
      <c r="P23" s="8"/>
      <c r="Q23" s="8"/>
      <c r="R23" s="8"/>
      <c r="S23" s="8"/>
      <c r="T23" s="8"/>
      <c r="U23" s="9"/>
      <c r="V23" s="46"/>
    </row>
    <row r="24" spans="1:22" ht="16.5">
      <c r="A24" s="46"/>
      <c r="B24" s="10" t="s">
        <v>223</v>
      </c>
      <c r="C24" s="11"/>
      <c r="D24" s="11"/>
      <c r="E24" s="11"/>
      <c r="F24" s="11"/>
      <c r="G24" s="11"/>
      <c r="H24" s="11"/>
      <c r="I24" s="11"/>
      <c r="J24" s="11" t="s">
        <v>383</v>
      </c>
      <c r="K24" s="11"/>
      <c r="L24" s="11"/>
      <c r="M24" s="11"/>
      <c r="N24" s="11"/>
      <c r="O24" s="11"/>
      <c r="P24" s="11"/>
      <c r="Q24" s="11"/>
      <c r="R24" s="11"/>
      <c r="S24" s="11"/>
      <c r="T24" s="11"/>
      <c r="U24" s="12"/>
      <c r="V24" s="46"/>
    </row>
    <row r="25" spans="1:22">
      <c r="A25" s="46"/>
      <c r="B25" s="10" t="s">
        <v>224</v>
      </c>
      <c r="C25" s="11"/>
      <c r="D25" s="11"/>
      <c r="E25" s="11"/>
      <c r="F25" s="11"/>
      <c r="G25" s="11"/>
      <c r="H25" s="11"/>
      <c r="I25" s="11"/>
      <c r="J25" s="11"/>
      <c r="K25" s="11"/>
      <c r="L25" s="11"/>
      <c r="M25" s="11"/>
      <c r="N25" s="11"/>
      <c r="O25" s="11"/>
      <c r="P25" s="11"/>
      <c r="Q25" s="11"/>
      <c r="R25" s="11"/>
      <c r="S25" s="11"/>
      <c r="T25" s="11"/>
      <c r="U25" s="12"/>
      <c r="V25" s="46"/>
    </row>
    <row r="26" spans="1:22">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751</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ht="16.5">
      <c r="A31" s="46"/>
      <c r="B31" s="10" t="s">
        <v>801</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ht="16.5">
      <c r="A33" s="46"/>
      <c r="B33" s="10"/>
      <c r="C33" s="11"/>
      <c r="D33" s="11"/>
      <c r="E33" s="11"/>
      <c r="F33" s="11"/>
      <c r="G33" s="11"/>
      <c r="H33" s="11"/>
      <c r="I33" s="11"/>
      <c r="J33" s="15" t="s">
        <v>228</v>
      </c>
      <c r="K33" s="11" t="s">
        <v>752</v>
      </c>
      <c r="L33" s="11"/>
      <c r="M33" s="11"/>
      <c r="N33" s="11"/>
      <c r="O33" s="11"/>
      <c r="P33" s="11"/>
      <c r="Q33" s="11"/>
      <c r="R33" s="11"/>
      <c r="S33" s="11"/>
      <c r="T33" s="11"/>
      <c r="U33" s="12"/>
      <c r="V33" s="46"/>
    </row>
    <row r="34" spans="1:22">
      <c r="A34" s="46"/>
      <c r="B34" s="10"/>
      <c r="C34" s="11"/>
      <c r="D34" s="11"/>
      <c r="E34" s="11"/>
      <c r="F34" s="11"/>
      <c r="G34" s="11" t="s">
        <v>728</v>
      </c>
      <c r="H34" s="11"/>
      <c r="I34" s="11"/>
      <c r="J34" s="11"/>
      <c r="K34" s="11"/>
      <c r="L34" s="11"/>
      <c r="M34" s="11"/>
      <c r="N34" s="11"/>
      <c r="O34" s="11"/>
      <c r="P34" s="11"/>
      <c r="Q34" s="11"/>
      <c r="R34" s="11"/>
      <c r="S34" s="11"/>
      <c r="T34" s="11"/>
      <c r="U34" s="12"/>
      <c r="V34" s="46"/>
    </row>
    <row r="35" spans="1:22">
      <c r="A35" s="46"/>
      <c r="B35" s="10"/>
      <c r="C35" s="11"/>
      <c r="D35" s="11"/>
      <c r="E35" s="11"/>
      <c r="F35" s="11"/>
      <c r="G35" s="11" t="s">
        <v>729</v>
      </c>
      <c r="H35" s="11"/>
      <c r="I35" s="11"/>
      <c r="J35" s="11"/>
      <c r="K35" s="11"/>
      <c r="L35" s="11"/>
      <c r="M35" s="11"/>
      <c r="N35" s="11"/>
      <c r="O35" s="11"/>
      <c r="P35" s="11"/>
      <c r="Q35" s="11"/>
      <c r="R35" s="11"/>
      <c r="S35" s="11"/>
      <c r="T35" s="11"/>
      <c r="U35" s="12"/>
      <c r="V35" s="46"/>
    </row>
    <row r="36" spans="1:22">
      <c r="A36" s="46"/>
      <c r="B36" s="17"/>
      <c r="C36" s="108"/>
      <c r="D36" s="18"/>
      <c r="E36" s="18"/>
      <c r="F36" s="18"/>
      <c r="G36" s="18"/>
      <c r="H36" s="18"/>
      <c r="I36" s="18"/>
      <c r="J36" s="18"/>
      <c r="K36" s="18"/>
      <c r="L36" s="18"/>
      <c r="M36" s="18"/>
      <c r="N36" s="18"/>
      <c r="O36" s="18"/>
      <c r="P36" s="18"/>
      <c r="Q36" s="18"/>
      <c r="R36" s="18"/>
      <c r="S36" s="18"/>
      <c r="T36" s="18"/>
      <c r="U36" s="19"/>
      <c r="V36" s="46"/>
    </row>
    <row r="37" spans="1:22" ht="42" customHeight="1">
      <c r="A37" s="46"/>
      <c r="B37" s="91" t="s">
        <v>192</v>
      </c>
      <c r="C37" s="101" t="s">
        <v>27</v>
      </c>
      <c r="D37" s="92" t="s">
        <v>230</v>
      </c>
      <c r="E37" s="91" t="s">
        <v>231</v>
      </c>
      <c r="F37" s="92" t="s">
        <v>233</v>
      </c>
      <c r="G37" s="91" t="s">
        <v>192</v>
      </c>
      <c r="H37" s="101" t="s">
        <v>27</v>
      </c>
      <c r="I37" s="92" t="s">
        <v>230</v>
      </c>
      <c r="J37" s="91" t="s">
        <v>231</v>
      </c>
      <c r="K37" s="92" t="s">
        <v>233</v>
      </c>
      <c r="L37" s="91" t="s">
        <v>192</v>
      </c>
      <c r="M37" s="101" t="s">
        <v>27</v>
      </c>
      <c r="N37" s="92" t="s">
        <v>230</v>
      </c>
      <c r="O37" s="91" t="s">
        <v>231</v>
      </c>
      <c r="P37" s="92" t="s">
        <v>233</v>
      </c>
      <c r="Q37" s="91" t="s">
        <v>192</v>
      </c>
      <c r="R37" s="101" t="s">
        <v>27</v>
      </c>
      <c r="S37" s="92" t="s">
        <v>230</v>
      </c>
      <c r="T37" s="91" t="s">
        <v>231</v>
      </c>
      <c r="U37" s="92" t="s">
        <v>233</v>
      </c>
      <c r="V37" s="46"/>
    </row>
    <row r="38" spans="1:22">
      <c r="A38" s="46"/>
      <c r="B38" s="41">
        <f>'Passby Data Set 1'!B24</f>
        <v>1</v>
      </c>
      <c r="C38" s="199">
        <f>'Passby Data Set 2'!C24</f>
        <v>0</v>
      </c>
      <c r="D38" s="102">
        <f>'Passby Data Set 2'!D24</f>
        <v>75.3</v>
      </c>
      <c r="E38" s="103">
        <f>'Passby Data Set 2'!E24</f>
        <v>0.11642064355417425</v>
      </c>
      <c r="F38" s="104">
        <f t="shared" ref="F38:F59" si="0">(E38*E38)/($O$31*$O$31)</f>
        <v>33884415.613920234</v>
      </c>
      <c r="G38" s="41">
        <v>23</v>
      </c>
      <c r="H38" s="102">
        <f>'Passby Data Set 2'!C46</f>
        <v>1.1000000000000001</v>
      </c>
      <c r="I38" s="102">
        <f>'Passby Data Set 2'!D46</f>
        <v>98.8</v>
      </c>
      <c r="J38" s="103">
        <f>'Passby Data Set 2'!E46</f>
        <v>1.7419271799121627</v>
      </c>
      <c r="K38" s="104">
        <f t="shared" ref="K38:K59" si="1">(J38*J38)/($O$31*$O$31)</f>
        <v>7585775750.2918491</v>
      </c>
      <c r="L38" s="41">
        <v>45</v>
      </c>
      <c r="M38" s="102">
        <f>'Passby Data Set 2'!C68</f>
        <v>2.2000000000000002</v>
      </c>
      <c r="N38" s="102">
        <f>'Passby Data Set 2'!D68</f>
        <v>101.6</v>
      </c>
      <c r="O38" s="103">
        <f>'Passby Data Set 2'!E68</f>
        <v>2.404528869234829</v>
      </c>
      <c r="P38" s="104">
        <f t="shared" ref="P38:P59" si="2">(O38*O38)/($O$31*$O$31)</f>
        <v>14454397707.459312</v>
      </c>
      <c r="Q38" s="41">
        <v>67</v>
      </c>
      <c r="R38" s="102">
        <f>'Passby Data Set 2'!C90</f>
        <v>3.2999999999999963</v>
      </c>
      <c r="S38" s="102">
        <f>'Passby Data Set 2'!D90</f>
        <v>92.1</v>
      </c>
      <c r="T38" s="103">
        <f>'Passby Data Set 2'!E90</f>
        <v>0.8054340686509186</v>
      </c>
      <c r="U38" s="104">
        <f t="shared" ref="U38:U56" si="3">(T38*T38)/($O$31*$O$31)</f>
        <v>1621810097.3589313</v>
      </c>
      <c r="V38" s="46"/>
    </row>
    <row r="39" spans="1:22">
      <c r="A39" s="46"/>
      <c r="B39" s="41">
        <f>'Passby Data Set 1'!B25</f>
        <v>2</v>
      </c>
      <c r="C39" s="199">
        <f>'Passby Data Set 2'!C25</f>
        <v>0.05</v>
      </c>
      <c r="D39" s="102">
        <f>'Passby Data Set 2'!D25</f>
        <v>76</v>
      </c>
      <c r="E39" s="103">
        <f>'Passby Data Set 2'!E25</f>
        <v>0.12619146889603877</v>
      </c>
      <c r="F39" s="104">
        <f t="shared" si="0"/>
        <v>39810717.055349797</v>
      </c>
      <c r="G39" s="41">
        <f>G38+1</f>
        <v>24</v>
      </c>
      <c r="H39" s="102">
        <f>'Passby Data Set 2'!C47</f>
        <v>1.1499999999999999</v>
      </c>
      <c r="I39" s="102">
        <f>'Passby Data Set 2'!D47</f>
        <v>97.7</v>
      </c>
      <c r="J39" s="103">
        <f>'Passby Data Set 2'!E47</f>
        <v>1.5347229787236401</v>
      </c>
      <c r="K39" s="104">
        <f t="shared" si="1"/>
        <v>5888436553.5559044</v>
      </c>
      <c r="L39" s="41">
        <f>L38+1</f>
        <v>46</v>
      </c>
      <c r="M39" s="102">
        <f>'Passby Data Set 2'!C69</f>
        <v>2.25</v>
      </c>
      <c r="N39" s="102">
        <f>'Passby Data Set 2'!D69</f>
        <v>102</v>
      </c>
      <c r="O39" s="103">
        <f>'Passby Data Set 2'!E69</f>
        <v>2.5178508235883372</v>
      </c>
      <c r="P39" s="104">
        <f t="shared" si="2"/>
        <v>15848931924.611166</v>
      </c>
      <c r="Q39" s="41">
        <f>Q38+1</f>
        <v>68</v>
      </c>
      <c r="R39" s="102">
        <f>'Passby Data Set 2'!C91</f>
        <v>3.3499999999999961</v>
      </c>
      <c r="S39" s="102">
        <f>'Passby Data Set 2'!D91</f>
        <v>90.8</v>
      </c>
      <c r="T39" s="103">
        <f>'Passby Data Set 2'!E91</f>
        <v>0.69347370090506411</v>
      </c>
      <c r="U39" s="104">
        <f t="shared" si="3"/>
        <v>1202264434.6174157</v>
      </c>
      <c r="V39" s="46"/>
    </row>
    <row r="40" spans="1:22">
      <c r="A40" s="46"/>
      <c r="B40" s="41">
        <f>'Passby Data Set 1'!B26</f>
        <v>3</v>
      </c>
      <c r="C40" s="199">
        <f>'Passby Data Set 2'!C26</f>
        <v>0.1</v>
      </c>
      <c r="D40" s="102">
        <f>'Passby Data Set 2'!D26</f>
        <v>76</v>
      </c>
      <c r="E40" s="103">
        <f>'Passby Data Set 2'!E26</f>
        <v>0.12619146889603877</v>
      </c>
      <c r="F40" s="104">
        <f t="shared" si="0"/>
        <v>39810717.055349797</v>
      </c>
      <c r="G40" s="41">
        <f t="shared" ref="G40:G59" si="4">G39+1</f>
        <v>25</v>
      </c>
      <c r="H40" s="102">
        <f>'Passby Data Set 2'!C48</f>
        <v>1.2</v>
      </c>
      <c r="I40" s="102">
        <f>'Passby Data Set 2'!D48</f>
        <v>96.9</v>
      </c>
      <c r="J40" s="103">
        <f>'Passby Data Set 2'!E48</f>
        <v>1.3996839920045494</v>
      </c>
      <c r="K40" s="104">
        <f t="shared" si="1"/>
        <v>4897788193.6844778</v>
      </c>
      <c r="L40" s="41">
        <f t="shared" ref="L40:L59" si="5">L39+1</f>
        <v>47</v>
      </c>
      <c r="M40" s="102">
        <f>'Passby Data Set 2'!C70</f>
        <v>2.2999999999999998</v>
      </c>
      <c r="N40" s="102">
        <f>'Passby Data Set 2'!D70</f>
        <v>100.5</v>
      </c>
      <c r="O40" s="103">
        <f>'Passby Data Set 2'!E70</f>
        <v>2.1185074503545818</v>
      </c>
      <c r="P40" s="104">
        <f t="shared" si="2"/>
        <v>11220184543.019676</v>
      </c>
      <c r="Q40" s="41">
        <f t="shared" ref="Q40:Q56" si="6">Q39+1</f>
        <v>69</v>
      </c>
      <c r="R40" s="102">
        <f>'Passby Data Set 2'!C92</f>
        <v>3.3999999999999959</v>
      </c>
      <c r="S40" s="102">
        <f>'Passby Data Set 2'!D92</f>
        <v>89.4</v>
      </c>
      <c r="T40" s="103">
        <f>'Passby Data Set 2'!E92</f>
        <v>0.59024184533327828</v>
      </c>
      <c r="U40" s="104">
        <f t="shared" si="3"/>
        <v>870963589.95608389</v>
      </c>
      <c r="V40" s="46"/>
    </row>
    <row r="41" spans="1:22">
      <c r="A41" s="46"/>
      <c r="B41" s="41">
        <f>'Passby Data Set 1'!B27</f>
        <v>4</v>
      </c>
      <c r="C41" s="199">
        <f>'Passby Data Set 2'!C27</f>
        <v>0.15</v>
      </c>
      <c r="D41" s="102">
        <f>'Passby Data Set 2'!D27</f>
        <v>77.2</v>
      </c>
      <c r="E41" s="103">
        <f>'Passby Data Set 2'!E27</f>
        <v>0.14488719201499833</v>
      </c>
      <c r="F41" s="104">
        <f t="shared" si="0"/>
        <v>52480746.024977483</v>
      </c>
      <c r="G41" s="41">
        <f t="shared" si="4"/>
        <v>26</v>
      </c>
      <c r="H41" s="102">
        <f>'Passby Data Set 2'!C49</f>
        <v>1.25</v>
      </c>
      <c r="I41" s="102">
        <f>'Passby Data Set 2'!D49</f>
        <v>98.7</v>
      </c>
      <c r="J41" s="103">
        <f>'Passby Data Set 2'!E49</f>
        <v>1.7219875043692059</v>
      </c>
      <c r="K41" s="104">
        <f t="shared" si="1"/>
        <v>7413102413.0092134</v>
      </c>
      <c r="L41" s="41">
        <f t="shared" si="5"/>
        <v>48</v>
      </c>
      <c r="M41" s="102">
        <f>'Passby Data Set 2'!C71</f>
        <v>2.3499999999999996</v>
      </c>
      <c r="N41" s="102">
        <f>'Passby Data Set 2'!D71</f>
        <v>98.6</v>
      </c>
      <c r="O41" s="103">
        <f>'Passby Data Set 2'!E71</f>
        <v>1.7022760764047546</v>
      </c>
      <c r="P41" s="104">
        <f t="shared" si="2"/>
        <v>7244359600.7499142</v>
      </c>
      <c r="Q41" s="41">
        <f t="shared" si="6"/>
        <v>70</v>
      </c>
      <c r="R41" s="102">
        <f>'Passby Data Set 2'!C93</f>
        <v>3.4499999999999957</v>
      </c>
      <c r="S41" s="102">
        <f>'Passby Data Set 2'!D93</f>
        <v>88</v>
      </c>
      <c r="T41" s="103">
        <f>'Passby Data Set 2'!E93</f>
        <v>0.50237728630191725</v>
      </c>
      <c r="U41" s="104">
        <f t="shared" si="3"/>
        <v>630957344.48019624</v>
      </c>
      <c r="V41" s="46"/>
    </row>
    <row r="42" spans="1:22">
      <c r="A42" s="46"/>
      <c r="B42" s="41">
        <f>'Passby Data Set 1'!B28</f>
        <v>5</v>
      </c>
      <c r="C42" s="199">
        <f>'Passby Data Set 2'!C28</f>
        <v>0.2</v>
      </c>
      <c r="D42" s="102">
        <f>'Passby Data Set 2'!D28</f>
        <v>77.599999999999994</v>
      </c>
      <c r="E42" s="103">
        <f>'Passby Data Set 2'!E28</f>
        <v>0.1517155150058368</v>
      </c>
      <c r="F42" s="104">
        <f t="shared" si="0"/>
        <v>57543993.73371572</v>
      </c>
      <c r="G42" s="41">
        <f t="shared" si="4"/>
        <v>27</v>
      </c>
      <c r="H42" s="102">
        <f>'Passby Data Set 2'!C50</f>
        <v>1.3</v>
      </c>
      <c r="I42" s="102">
        <f>'Passby Data Set 2'!D50</f>
        <v>100.8</v>
      </c>
      <c r="J42" s="103">
        <f>'Passby Data Set 2'!E50</f>
        <v>2.1929563922863737</v>
      </c>
      <c r="K42" s="104">
        <f t="shared" si="1"/>
        <v>12022644346.174168</v>
      </c>
      <c r="L42" s="41">
        <f t="shared" si="5"/>
        <v>49</v>
      </c>
      <c r="M42" s="102">
        <f>'Passby Data Set 2'!C72</f>
        <v>2.3999999999999995</v>
      </c>
      <c r="N42" s="102">
        <f>'Passby Data Set 2'!D72</f>
        <v>100</v>
      </c>
      <c r="O42" s="103">
        <f>'Passby Data Set 2'!E72</f>
        <v>2</v>
      </c>
      <c r="P42" s="104">
        <f t="shared" si="2"/>
        <v>9999999999.9999981</v>
      </c>
      <c r="Q42" s="41">
        <f t="shared" si="6"/>
        <v>71</v>
      </c>
      <c r="R42" s="102">
        <f>'Passby Data Set 2'!C94</f>
        <v>3.4999999999999956</v>
      </c>
      <c r="S42" s="102">
        <f>'Passby Data Set 2'!D94</f>
        <v>87</v>
      </c>
      <c r="T42" s="103">
        <f>'Passby Data Set 2'!E94</f>
        <v>0.44774422771366768</v>
      </c>
      <c r="U42" s="104">
        <f t="shared" si="3"/>
        <v>501187233.62727165</v>
      </c>
      <c r="V42" s="46"/>
    </row>
    <row r="43" spans="1:22">
      <c r="A43" s="46"/>
      <c r="B43" s="41">
        <f>'Passby Data Set 1'!B29</f>
        <v>6</v>
      </c>
      <c r="C43" s="199">
        <f>'Passby Data Set 2'!C29</f>
        <v>0.25</v>
      </c>
      <c r="D43" s="102">
        <f>'Passby Data Set 2'!D29</f>
        <v>79.3</v>
      </c>
      <c r="E43" s="103">
        <f>'Passby Data Set 2'!E29</f>
        <v>0.18451428543095286</v>
      </c>
      <c r="F43" s="104">
        <f t="shared" si="0"/>
        <v>85113803.82023783</v>
      </c>
      <c r="G43" s="41">
        <f t="shared" si="4"/>
        <v>28</v>
      </c>
      <c r="H43" s="102">
        <f>'Passby Data Set 2'!C51</f>
        <v>1.35</v>
      </c>
      <c r="I43" s="102">
        <f>'Passby Data Set 2'!D51</f>
        <v>100</v>
      </c>
      <c r="J43" s="103">
        <f>'Passby Data Set 2'!E51</f>
        <v>2</v>
      </c>
      <c r="K43" s="104">
        <f t="shared" si="1"/>
        <v>9999999999.9999981</v>
      </c>
      <c r="L43" s="41">
        <f t="shared" si="5"/>
        <v>50</v>
      </c>
      <c r="M43" s="102">
        <f>'Passby Data Set 2'!C73</f>
        <v>2.4499999999999993</v>
      </c>
      <c r="N43" s="102">
        <f>'Passby Data Set 2'!D73</f>
        <v>100</v>
      </c>
      <c r="O43" s="103">
        <f>'Passby Data Set 2'!E73</f>
        <v>2</v>
      </c>
      <c r="P43" s="104">
        <f t="shared" si="2"/>
        <v>9999999999.9999981</v>
      </c>
      <c r="Q43" s="41">
        <f t="shared" si="6"/>
        <v>72</v>
      </c>
      <c r="R43" s="102">
        <f>'Passby Data Set 2'!C95</f>
        <v>3.5499999999999954</v>
      </c>
      <c r="S43" s="102">
        <f>'Passby Data Set 2'!D95</f>
        <v>85.9</v>
      </c>
      <c r="T43" s="103">
        <f>'Passby Data Set 2'!E95</f>
        <v>0.39448454722297138</v>
      </c>
      <c r="U43" s="104">
        <f t="shared" si="3"/>
        <v>389045144.99428183</v>
      </c>
      <c r="V43" s="46"/>
    </row>
    <row r="44" spans="1:22">
      <c r="A44" s="46"/>
      <c r="B44" s="41">
        <f>'Passby Data Set 1'!B30</f>
        <v>7</v>
      </c>
      <c r="C44" s="199">
        <f>'Passby Data Set 2'!C30</f>
        <v>0.3</v>
      </c>
      <c r="D44" s="102">
        <f>'Passby Data Set 2'!D30</f>
        <v>80.5</v>
      </c>
      <c r="E44" s="103">
        <f>'Passby Data Set 2'!E30</f>
        <v>0.21185074503545828</v>
      </c>
      <c r="F44" s="104">
        <f t="shared" si="0"/>
        <v>112201845.43019685</v>
      </c>
      <c r="G44" s="41">
        <f t="shared" si="4"/>
        <v>29</v>
      </c>
      <c r="H44" s="102">
        <f>'Passby Data Set 2'!C52</f>
        <v>1.4</v>
      </c>
      <c r="I44" s="102">
        <f>'Passby Data Set 2'!D52</f>
        <v>98</v>
      </c>
      <c r="J44" s="103">
        <f>'Passby Data Set 2'!E52</f>
        <v>1.588656469448565</v>
      </c>
      <c r="K44" s="104">
        <f t="shared" si="1"/>
        <v>6309573444.8019466</v>
      </c>
      <c r="L44" s="41">
        <f t="shared" si="5"/>
        <v>51</v>
      </c>
      <c r="M44" s="102">
        <f>'Passby Data Set 2'!C74</f>
        <v>2.4999999999999991</v>
      </c>
      <c r="N44" s="102">
        <f>'Passby Data Set 2'!D74</f>
        <v>99.6</v>
      </c>
      <c r="O44" s="103">
        <f>'Passby Data Set 2'!E74</f>
        <v>1.9099851720428727</v>
      </c>
      <c r="P44" s="104">
        <f t="shared" si="2"/>
        <v>9120108393.559103</v>
      </c>
      <c r="Q44" s="41">
        <f t="shared" si="6"/>
        <v>73</v>
      </c>
      <c r="R44" s="102">
        <f>'Passby Data Set 2'!C96</f>
        <v>3.5999999999999952</v>
      </c>
      <c r="S44" s="102">
        <f>'Passby Data Set 2'!D96</f>
        <v>85</v>
      </c>
      <c r="T44" s="103">
        <f>'Passby Data Set 2'!E96</f>
        <v>0.3556558820077847</v>
      </c>
      <c r="U44" s="104">
        <f t="shared" si="3"/>
        <v>316227766.01683813</v>
      </c>
      <c r="V44" s="46"/>
    </row>
    <row r="45" spans="1:22">
      <c r="A45" s="46"/>
      <c r="B45" s="41">
        <f>'Passby Data Set 1'!B31</f>
        <v>8</v>
      </c>
      <c r="C45" s="199">
        <f>'Passby Data Set 2'!C31</f>
        <v>0.35</v>
      </c>
      <c r="D45" s="102">
        <f>'Passby Data Set 2'!D31</f>
        <v>81.7</v>
      </c>
      <c r="E45" s="103">
        <f>'Passby Data Set 2'!E31</f>
        <v>0.24323720012927363</v>
      </c>
      <c r="F45" s="104">
        <f t="shared" si="0"/>
        <v>147910838.81682077</v>
      </c>
      <c r="G45" s="41">
        <f t="shared" si="4"/>
        <v>30</v>
      </c>
      <c r="H45" s="102">
        <f>'Passby Data Set 2'!C53</f>
        <v>1.45</v>
      </c>
      <c r="I45" s="102">
        <f>'Passby Data Set 2'!D53</f>
        <v>97.4</v>
      </c>
      <c r="J45" s="103">
        <f>'Passby Data Set 2'!E53</f>
        <v>1.4826204826018372</v>
      </c>
      <c r="K45" s="104">
        <f t="shared" si="1"/>
        <v>5495408738.5762606</v>
      </c>
      <c r="L45" s="41">
        <f t="shared" si="5"/>
        <v>52</v>
      </c>
      <c r="M45" s="102">
        <f>'Passby Data Set 2'!C75</f>
        <v>2.5499999999999989</v>
      </c>
      <c r="N45" s="102">
        <f>'Passby Data Set 2'!D75</f>
        <v>98</v>
      </c>
      <c r="O45" s="103">
        <f>'Passby Data Set 2'!E75</f>
        <v>1.588656469448565</v>
      </c>
      <c r="P45" s="104">
        <f t="shared" si="2"/>
        <v>6309573444.8019466</v>
      </c>
      <c r="Q45" s="41">
        <f t="shared" si="6"/>
        <v>74</v>
      </c>
      <c r="R45" s="102">
        <f>'Passby Data Set 2'!C97</f>
        <v>3.649999999999995</v>
      </c>
      <c r="S45" s="102">
        <f>'Passby Data Set 2'!D97</f>
        <v>82.5</v>
      </c>
      <c r="T45" s="103">
        <f>'Passby Data Set 2'!E97</f>
        <v>0.26670428643266519</v>
      </c>
      <c r="U45" s="104">
        <f t="shared" si="3"/>
        <v>177827941.00389278</v>
      </c>
      <c r="V45" s="46"/>
    </row>
    <row r="46" spans="1:22">
      <c r="A46" s="46"/>
      <c r="B46" s="41">
        <f>'Passby Data Set 1'!B32</f>
        <v>9</v>
      </c>
      <c r="C46" s="199">
        <f>'Passby Data Set 2'!C32</f>
        <v>0.4</v>
      </c>
      <c r="D46" s="102">
        <f>'Passby Data Set 2'!D32</f>
        <v>82.5</v>
      </c>
      <c r="E46" s="103">
        <f>'Passby Data Set 2'!E32</f>
        <v>0.26670428643266519</v>
      </c>
      <c r="F46" s="104">
        <f t="shared" si="0"/>
        <v>177827941.00389278</v>
      </c>
      <c r="G46" s="41">
        <f t="shared" si="4"/>
        <v>31</v>
      </c>
      <c r="H46" s="102">
        <f>'Passby Data Set 2'!C54</f>
        <v>1.5</v>
      </c>
      <c r="I46" s="102">
        <f>'Passby Data Set 2'!D54</f>
        <v>97.9</v>
      </c>
      <c r="J46" s="103">
        <f>'Passby Data Set 2'!E54</f>
        <v>1.5704712692201486</v>
      </c>
      <c r="K46" s="104">
        <f t="shared" si="1"/>
        <v>6165950018.6148596</v>
      </c>
      <c r="L46" s="41">
        <f t="shared" si="5"/>
        <v>53</v>
      </c>
      <c r="M46" s="102">
        <f>'Passby Data Set 2'!C76</f>
        <v>2.5999999999999988</v>
      </c>
      <c r="N46" s="102">
        <f>'Passby Data Set 2'!D76</f>
        <v>97.3</v>
      </c>
      <c r="O46" s="103">
        <f>'Passby Data Set 2'!E76</f>
        <v>1.4656490662778106</v>
      </c>
      <c r="P46" s="104">
        <f t="shared" si="2"/>
        <v>5370317963.7025433</v>
      </c>
      <c r="Q46" s="41">
        <f t="shared" si="6"/>
        <v>75</v>
      </c>
      <c r="R46" s="102">
        <f>'Passby Data Set 2'!C98</f>
        <v>3.6999999999999948</v>
      </c>
      <c r="S46" s="102">
        <f>'Passby Data Set 2'!D98</f>
        <v>81.7</v>
      </c>
      <c r="T46" s="103">
        <f>'Passby Data Set 2'!E98</f>
        <v>0.24323720012927363</v>
      </c>
      <c r="U46" s="104">
        <f t="shared" si="3"/>
        <v>147910838.81682077</v>
      </c>
      <c r="V46" s="46"/>
    </row>
    <row r="47" spans="1:22">
      <c r="A47" s="46"/>
      <c r="B47" s="41">
        <f>'Passby Data Set 1'!B33</f>
        <v>10</v>
      </c>
      <c r="C47" s="199">
        <f>'Passby Data Set 2'!C33</f>
        <v>0.45</v>
      </c>
      <c r="D47" s="102">
        <f>'Passby Data Set 2'!D33</f>
        <v>85</v>
      </c>
      <c r="E47" s="103">
        <f>'Passby Data Set 2'!E33</f>
        <v>0.3556558820077847</v>
      </c>
      <c r="F47" s="104">
        <f t="shared" si="0"/>
        <v>316227766.01683813</v>
      </c>
      <c r="G47" s="41">
        <f t="shared" si="4"/>
        <v>32</v>
      </c>
      <c r="H47" s="102">
        <f>'Passby Data Set 2'!C55</f>
        <v>1.55</v>
      </c>
      <c r="I47" s="102">
        <f>'Passby Data Set 2'!D55</f>
        <v>98.3</v>
      </c>
      <c r="J47" s="103">
        <f>'Passby Data Set 2'!E55</f>
        <v>1.6444852998941439</v>
      </c>
      <c r="K47" s="104">
        <f t="shared" si="1"/>
        <v>6760829753.9198303</v>
      </c>
      <c r="L47" s="41">
        <f t="shared" si="5"/>
        <v>54</v>
      </c>
      <c r="M47" s="102">
        <f>'Passby Data Set 2'!C77</f>
        <v>2.6499999999999986</v>
      </c>
      <c r="N47" s="102">
        <f>'Passby Data Set 2'!D77</f>
        <v>100</v>
      </c>
      <c r="O47" s="103">
        <f>'Passby Data Set 2'!E77</f>
        <v>2</v>
      </c>
      <c r="P47" s="104">
        <f t="shared" si="2"/>
        <v>9999999999.9999981</v>
      </c>
      <c r="Q47" s="41">
        <f t="shared" si="6"/>
        <v>76</v>
      </c>
      <c r="R47" s="102">
        <f>'Passby Data Set 2'!C99</f>
        <v>3.7499999999999947</v>
      </c>
      <c r="S47" s="102">
        <f>'Passby Data Set 2'!D99</f>
        <v>80.5</v>
      </c>
      <c r="T47" s="103">
        <f>'Passby Data Set 2'!E99</f>
        <v>0.21185074503545828</v>
      </c>
      <c r="U47" s="104">
        <f t="shared" si="3"/>
        <v>112201845.43019685</v>
      </c>
      <c r="V47" s="46"/>
    </row>
    <row r="48" spans="1:22">
      <c r="A48" s="46"/>
      <c r="B48" s="41">
        <f>'Passby Data Set 1'!B34</f>
        <v>11</v>
      </c>
      <c r="C48" s="199">
        <f>'Passby Data Set 2'!C34</f>
        <v>0.5</v>
      </c>
      <c r="D48" s="102">
        <f>'Passby Data Set 2'!D34</f>
        <v>86.2</v>
      </c>
      <c r="E48" s="103">
        <f>'Passby Data Set 2'!E34</f>
        <v>0.40834758893390649</v>
      </c>
      <c r="F48" s="104">
        <f t="shared" si="0"/>
        <v>416869383.47033656</v>
      </c>
      <c r="G48" s="41">
        <f t="shared" si="4"/>
        <v>33</v>
      </c>
      <c r="H48" s="102">
        <f>'Passby Data Set 2'!C56</f>
        <v>1.6</v>
      </c>
      <c r="I48" s="102">
        <f>'Passby Data Set 2'!D56</f>
        <v>98.2</v>
      </c>
      <c r="J48" s="103">
        <f>'Passby Data Set 2'!E56</f>
        <v>1.6256610323282004</v>
      </c>
      <c r="K48" s="104">
        <f t="shared" si="1"/>
        <v>6606934480.0759745</v>
      </c>
      <c r="L48" s="41">
        <f t="shared" si="5"/>
        <v>55</v>
      </c>
      <c r="M48" s="102">
        <f>'Passby Data Set 2'!C78</f>
        <v>2.6999999999999984</v>
      </c>
      <c r="N48" s="102">
        <f>'Passby Data Set 2'!D78</f>
        <v>99.8</v>
      </c>
      <c r="O48" s="103">
        <f>'Passby Data Set 2'!E78</f>
        <v>1.9544744419116256</v>
      </c>
      <c r="P48" s="104">
        <f t="shared" si="2"/>
        <v>9549925860.2143974</v>
      </c>
      <c r="Q48" s="41">
        <f t="shared" si="6"/>
        <v>77</v>
      </c>
      <c r="R48" s="102">
        <f>'Passby Data Set 2'!C100</f>
        <v>3.7999999999999945</v>
      </c>
      <c r="S48" s="102">
        <f>'Passby Data Set 2'!D100</f>
        <v>79.2</v>
      </c>
      <c r="T48" s="103">
        <f>'Passby Data Set 2'!E100</f>
        <v>0.18240216787118219</v>
      </c>
      <c r="U48" s="104">
        <f t="shared" si="3"/>
        <v>83176377.110267296</v>
      </c>
      <c r="V48" s="46"/>
    </row>
    <row r="49" spans="1:22">
      <c r="A49" s="46"/>
      <c r="B49" s="41">
        <f>'Passby Data Set 1'!B35</f>
        <v>12</v>
      </c>
      <c r="C49" s="199">
        <f>'Passby Data Set 2'!C35</f>
        <v>0.55000000000000004</v>
      </c>
      <c r="D49" s="102">
        <f>'Passby Data Set 2'!D35</f>
        <v>88</v>
      </c>
      <c r="E49" s="103">
        <f>'Passby Data Set 2'!E35</f>
        <v>0.50237728630191725</v>
      </c>
      <c r="F49" s="104">
        <f t="shared" si="0"/>
        <v>630957344.48019624</v>
      </c>
      <c r="G49" s="41">
        <f t="shared" si="4"/>
        <v>34</v>
      </c>
      <c r="H49" s="102">
        <f>'Passby Data Set 2'!C57</f>
        <v>1.65</v>
      </c>
      <c r="I49" s="102">
        <f>'Passby Data Set 2'!D57</f>
        <v>96.3</v>
      </c>
      <c r="J49" s="103">
        <f>'Passby Data Set 2'!E57</f>
        <v>1.3062611052949451</v>
      </c>
      <c r="K49" s="104">
        <f t="shared" si="1"/>
        <v>4265795188.0159283</v>
      </c>
      <c r="L49" s="41">
        <f t="shared" si="5"/>
        <v>56</v>
      </c>
      <c r="M49" s="102">
        <f>'Passby Data Set 2'!C79</f>
        <v>2.7499999999999982</v>
      </c>
      <c r="N49" s="102">
        <f>'Passby Data Set 2'!D79</f>
        <v>98</v>
      </c>
      <c r="O49" s="103">
        <f>'Passby Data Set 2'!E79</f>
        <v>1.588656469448565</v>
      </c>
      <c r="P49" s="104">
        <f t="shared" si="2"/>
        <v>6309573444.8019466</v>
      </c>
      <c r="Q49" s="41">
        <f t="shared" si="6"/>
        <v>78</v>
      </c>
      <c r="R49" s="102">
        <f>'Passby Data Set 2'!C101</f>
        <v>3.8499999999999943</v>
      </c>
      <c r="S49" s="102">
        <f>'Passby Data Set 2'!D101</f>
        <v>79.099999999999994</v>
      </c>
      <c r="T49" s="103">
        <f>'Passby Data Set 2'!E101</f>
        <v>0.18031422752119131</v>
      </c>
      <c r="U49" s="104">
        <f t="shared" si="3"/>
        <v>81283051.616409853</v>
      </c>
      <c r="V49" s="46"/>
    </row>
    <row r="50" spans="1:22">
      <c r="A50" s="46"/>
      <c r="B50" s="41">
        <f>'Passby Data Set 1'!B36</f>
        <v>13</v>
      </c>
      <c r="C50" s="199">
        <f>'Passby Data Set 2'!C36</f>
        <v>0.6</v>
      </c>
      <c r="D50" s="102">
        <f>'Passby Data Set 2'!D36</f>
        <v>89.9</v>
      </c>
      <c r="E50" s="103">
        <f>'Passby Data Set 2'!E36</f>
        <v>0.62521587342479201</v>
      </c>
      <c r="F50" s="104">
        <f t="shared" si="0"/>
        <v>977237220.95581377</v>
      </c>
      <c r="G50" s="41">
        <f t="shared" si="4"/>
        <v>35</v>
      </c>
      <c r="H50" s="102">
        <f>'Passby Data Set 2'!C58</f>
        <v>1.7</v>
      </c>
      <c r="I50" s="102">
        <f>'Passby Data Set 2'!D58</f>
        <v>97.1</v>
      </c>
      <c r="J50" s="103">
        <f>'Passby Data Set 2'!E58</f>
        <v>1.4322868204258039</v>
      </c>
      <c r="K50" s="104">
        <f t="shared" si="1"/>
        <v>5128613839.9136467</v>
      </c>
      <c r="L50" s="41">
        <f t="shared" si="5"/>
        <v>57</v>
      </c>
      <c r="M50" s="102">
        <f>'Passby Data Set 2'!C80</f>
        <v>2.799999999999998</v>
      </c>
      <c r="N50" s="102">
        <f>'Passby Data Set 2'!D80</f>
        <v>97.3</v>
      </c>
      <c r="O50" s="103">
        <f>'Passby Data Set 2'!E80</f>
        <v>1.4656490662778106</v>
      </c>
      <c r="P50" s="104">
        <f t="shared" si="2"/>
        <v>5370317963.7025433</v>
      </c>
      <c r="Q50" s="41">
        <f t="shared" si="6"/>
        <v>79</v>
      </c>
      <c r="R50" s="102">
        <f>'Passby Data Set 2'!C102</f>
        <v>3.8999999999999941</v>
      </c>
      <c r="S50" s="102">
        <f>'Passby Data Set 2'!D102</f>
        <v>76.900000000000006</v>
      </c>
      <c r="T50" s="103">
        <f>'Passby Data Set 2'!E102</f>
        <v>0.13996839920045479</v>
      </c>
      <c r="U50" s="104">
        <f t="shared" si="3"/>
        <v>48977881.936844669</v>
      </c>
      <c r="V50" s="46"/>
    </row>
    <row r="51" spans="1:22">
      <c r="A51" s="46"/>
      <c r="B51" s="41">
        <f>'Passby Data Set 1'!B37</f>
        <v>14</v>
      </c>
      <c r="C51" s="199">
        <f>'Passby Data Set 2'!C37</f>
        <v>0.65</v>
      </c>
      <c r="D51" s="102">
        <f>'Passby Data Set 2'!D37</f>
        <v>91.9</v>
      </c>
      <c r="E51" s="103">
        <f>'Passby Data Set 2'!E37</f>
        <v>0.78710015091155672</v>
      </c>
      <c r="F51" s="104">
        <f t="shared" si="0"/>
        <v>1548816618.912488</v>
      </c>
      <c r="G51" s="41">
        <f t="shared" si="4"/>
        <v>36</v>
      </c>
      <c r="H51" s="102">
        <f>'Passby Data Set 2'!C59</f>
        <v>1.75</v>
      </c>
      <c r="I51" s="102">
        <f>'Passby Data Set 2'!D59</f>
        <v>98</v>
      </c>
      <c r="J51" s="103">
        <f>'Passby Data Set 2'!E59</f>
        <v>1.588656469448565</v>
      </c>
      <c r="K51" s="104">
        <f t="shared" si="1"/>
        <v>6309573444.8019466</v>
      </c>
      <c r="L51" s="41">
        <f t="shared" si="5"/>
        <v>58</v>
      </c>
      <c r="M51" s="102">
        <f>'Passby Data Set 2'!C81</f>
        <v>2.8499999999999979</v>
      </c>
      <c r="N51" s="102">
        <f>'Passby Data Set 2'!D81</f>
        <v>98.4</v>
      </c>
      <c r="O51" s="103">
        <f>'Passby Data Set 2'!E81</f>
        <v>1.6635275422053437</v>
      </c>
      <c r="P51" s="104">
        <f t="shared" si="2"/>
        <v>6918309709.1893778</v>
      </c>
      <c r="Q51" s="41">
        <f t="shared" si="6"/>
        <v>80</v>
      </c>
      <c r="R51" s="102">
        <f>'Passby Data Set 2'!C103</f>
        <v>3.949999999999994</v>
      </c>
      <c r="S51" s="102">
        <f>'Passby Data Set 2'!D103</f>
        <v>75.900000000000006</v>
      </c>
      <c r="T51" s="103">
        <f>'Passby Data Set 2'!E103</f>
        <v>0.124746967096484</v>
      </c>
      <c r="U51" s="104">
        <f t="shared" si="3"/>
        <v>38904514.499428153</v>
      </c>
      <c r="V51" s="46"/>
    </row>
    <row r="52" spans="1:22">
      <c r="A52" s="46"/>
      <c r="B52" s="41">
        <f>'Passby Data Set 1'!B38</f>
        <v>15</v>
      </c>
      <c r="C52" s="199">
        <f>'Passby Data Set 2'!C38</f>
        <v>0.7</v>
      </c>
      <c r="D52" s="102">
        <f>'Passby Data Set 2'!D38</f>
        <v>94.4</v>
      </c>
      <c r="E52" s="103">
        <f>'Passby Data Set 2'!E38</f>
        <v>1.0496149204995482</v>
      </c>
      <c r="F52" s="104">
        <f t="shared" si="0"/>
        <v>2754228703.338182</v>
      </c>
      <c r="G52" s="41">
        <f t="shared" si="4"/>
        <v>37</v>
      </c>
      <c r="H52" s="102">
        <f>'Passby Data Set 2'!C60</f>
        <v>1.8</v>
      </c>
      <c r="I52" s="102">
        <f>'Passby Data Set 2'!D60</f>
        <v>99</v>
      </c>
      <c r="J52" s="103">
        <f>'Passby Data Set 2'!E60</f>
        <v>1.7825018762674922</v>
      </c>
      <c r="K52" s="104">
        <f t="shared" si="1"/>
        <v>7943282347.2428246</v>
      </c>
      <c r="L52" s="41">
        <f t="shared" si="5"/>
        <v>59</v>
      </c>
      <c r="M52" s="102">
        <f>'Passby Data Set 2'!C82</f>
        <v>2.8999999999999977</v>
      </c>
      <c r="N52" s="102">
        <f>'Passby Data Set 2'!D82</f>
        <v>100.1</v>
      </c>
      <c r="O52" s="103">
        <f>'Passby Data Set 2'!E82</f>
        <v>2.0231589085197976</v>
      </c>
      <c r="P52" s="104">
        <f t="shared" si="2"/>
        <v>10232929922.807547</v>
      </c>
      <c r="Q52" s="41">
        <f t="shared" si="6"/>
        <v>81</v>
      </c>
      <c r="R52" s="102">
        <f>'Passby Data Set 2'!C104</f>
        <v>3.9999999999999938</v>
      </c>
      <c r="S52" s="102">
        <f>'Passby Data Set 2'!D104</f>
        <v>75.3</v>
      </c>
      <c r="T52" s="103">
        <f>'Passby Data Set 2'!E104</f>
        <v>0.11642064355417425</v>
      </c>
      <c r="U52" s="104">
        <f t="shared" si="3"/>
        <v>33884415.613920234</v>
      </c>
      <c r="V52" s="46"/>
    </row>
    <row r="53" spans="1:22">
      <c r="A53" s="46"/>
      <c r="B53" s="41">
        <f>B52+1</f>
        <v>16</v>
      </c>
      <c r="C53" s="199">
        <f>'Passby Data Set 2'!C39</f>
        <v>0.75</v>
      </c>
      <c r="D53" s="102">
        <f>'Passby Data Set 2'!D39</f>
        <v>96.5</v>
      </c>
      <c r="E53" s="103">
        <f>'Passby Data Set 2'!E39</f>
        <v>1.3366878351372318</v>
      </c>
      <c r="F53" s="104">
        <f t="shared" si="0"/>
        <v>4466835921.5096474</v>
      </c>
      <c r="G53" s="41">
        <f t="shared" si="4"/>
        <v>38</v>
      </c>
      <c r="H53" s="102">
        <f>'Passby Data Set 2'!C61</f>
        <v>1.85</v>
      </c>
      <c r="I53" s="102">
        <f>'Passby Data Set 2'!D61</f>
        <v>97.5</v>
      </c>
      <c r="J53" s="103">
        <f>'Passby Data Set 2'!E61</f>
        <v>1.4997884186649137</v>
      </c>
      <c r="K53" s="104">
        <f t="shared" si="1"/>
        <v>5623413251.9035053</v>
      </c>
      <c r="L53" s="41">
        <f t="shared" si="5"/>
        <v>60</v>
      </c>
      <c r="M53" s="102">
        <f>'Passby Data Set 2'!C83</f>
        <v>2.9499999999999975</v>
      </c>
      <c r="N53" s="102">
        <f>'Passby Data Set 2'!D83</f>
        <v>101.6</v>
      </c>
      <c r="O53" s="103">
        <f>'Passby Data Set 2'!E83</f>
        <v>2.404528869234829</v>
      </c>
      <c r="P53" s="104">
        <f t="shared" si="2"/>
        <v>14454397707.459312</v>
      </c>
      <c r="Q53" s="41">
        <f t="shared" si="6"/>
        <v>82</v>
      </c>
      <c r="R53" s="102">
        <f>'Passby Data Set 2'!C105</f>
        <v>4.0499999999999936</v>
      </c>
      <c r="S53" s="102">
        <f>'Passby Data Set 2'!D105</f>
        <v>74.3</v>
      </c>
      <c r="T53" s="103">
        <f>'Passby Data Set 2'!E105</f>
        <v>0.10376000778579222</v>
      </c>
      <c r="U53" s="104">
        <f t="shared" si="3"/>
        <v>26915348.039269153</v>
      </c>
      <c r="V53" s="46"/>
    </row>
    <row r="54" spans="1:22">
      <c r="A54" s="46"/>
      <c r="B54" s="41">
        <f t="shared" ref="B54:B59" si="7">B53+1</f>
        <v>17</v>
      </c>
      <c r="C54" s="199">
        <f>'Passby Data Set 2'!C40</f>
        <v>0.8</v>
      </c>
      <c r="D54" s="102">
        <f>'Passby Data Set 2'!D40</f>
        <v>98</v>
      </c>
      <c r="E54" s="103">
        <f>'Passby Data Set 2'!E40</f>
        <v>1.588656469448565</v>
      </c>
      <c r="F54" s="104">
        <f t="shared" si="0"/>
        <v>6309573444.8019466</v>
      </c>
      <c r="G54" s="41">
        <f t="shared" si="4"/>
        <v>39</v>
      </c>
      <c r="H54" s="102">
        <f>'Passby Data Set 2'!C62</f>
        <v>1.9</v>
      </c>
      <c r="I54" s="102">
        <f>'Passby Data Set 2'!D62</f>
        <v>99.1</v>
      </c>
      <c r="J54" s="103">
        <f>'Passby Data Set 2'!E62</f>
        <v>1.8031422752119151</v>
      </c>
      <c r="K54" s="104">
        <f t="shared" si="1"/>
        <v>8128305161.6410027</v>
      </c>
      <c r="L54" s="41">
        <f t="shared" si="5"/>
        <v>61</v>
      </c>
      <c r="M54" s="102">
        <f>'Passby Data Set 2'!C84</f>
        <v>2.9999999999999973</v>
      </c>
      <c r="N54" s="102">
        <f>'Passby Data Set 2'!D84</f>
        <v>100.5</v>
      </c>
      <c r="O54" s="103">
        <f>'Passby Data Set 2'!E84</f>
        <v>2.1185074503545818</v>
      </c>
      <c r="P54" s="104">
        <f t="shared" si="2"/>
        <v>11220184543.019676</v>
      </c>
      <c r="Q54" s="41">
        <f t="shared" si="6"/>
        <v>83</v>
      </c>
      <c r="R54" s="102">
        <f>'Passby Data Set 2'!C106</f>
        <v>4.0999999999999934</v>
      </c>
      <c r="S54" s="102">
        <f>'Passby Data Set 2'!D106</f>
        <v>73.099999999999994</v>
      </c>
      <c r="T54" s="103">
        <f>'Passby Data Set 2'!E106</f>
        <v>9.0371188874984534E-2</v>
      </c>
      <c r="U54" s="104">
        <f t="shared" si="3"/>
        <v>20417379.446695317</v>
      </c>
      <c r="V54" s="46"/>
    </row>
    <row r="55" spans="1:22">
      <c r="A55" s="46"/>
      <c r="B55" s="41">
        <f t="shared" si="7"/>
        <v>18</v>
      </c>
      <c r="C55" s="199">
        <f>'Passby Data Set 2'!C41</f>
        <v>0.85</v>
      </c>
      <c r="D55" s="102">
        <f>'Passby Data Set 2'!D41</f>
        <v>100.4</v>
      </c>
      <c r="E55" s="103">
        <f>'Passby Data Set 2'!E41</f>
        <v>2.0942570961018032</v>
      </c>
      <c r="F55" s="104">
        <f t="shared" si="0"/>
        <v>10964781961.43189</v>
      </c>
      <c r="G55" s="41">
        <f t="shared" si="4"/>
        <v>40</v>
      </c>
      <c r="H55" s="102">
        <f>'Passby Data Set 2'!C63</f>
        <v>1.95</v>
      </c>
      <c r="I55" s="102">
        <f>'Passby Data Set 2'!D63</f>
        <v>101.3</v>
      </c>
      <c r="J55" s="103">
        <f>'Passby Data Set 2'!E63</f>
        <v>2.3228972276806847</v>
      </c>
      <c r="K55" s="104">
        <f t="shared" si="1"/>
        <v>13489628825.916525</v>
      </c>
      <c r="L55" s="41">
        <f t="shared" si="5"/>
        <v>62</v>
      </c>
      <c r="M55" s="102">
        <f>'Passby Data Set 2'!C85</f>
        <v>3.0499999999999972</v>
      </c>
      <c r="N55" s="102">
        <f>'Passby Data Set 2'!D85</f>
        <v>99</v>
      </c>
      <c r="O55" s="103">
        <f>'Passby Data Set 2'!E85</f>
        <v>1.7825018762674922</v>
      </c>
      <c r="P55" s="104">
        <f t="shared" si="2"/>
        <v>7943282347.2428246</v>
      </c>
      <c r="Q55" s="41">
        <f t="shared" si="6"/>
        <v>84</v>
      </c>
      <c r="R55" s="102">
        <f>'Passby Data Set 2'!C107</f>
        <v>4.1499999999999932</v>
      </c>
      <c r="S55" s="102">
        <f>'Passby Data Set 2'!D107</f>
        <v>74.2</v>
      </c>
      <c r="T55" s="103">
        <f>'Passby Data Set 2'!E107</f>
        <v>0.10257227679827299</v>
      </c>
      <c r="U55" s="104">
        <f t="shared" si="3"/>
        <v>26302679.918953825</v>
      </c>
      <c r="V55" s="46"/>
    </row>
    <row r="56" spans="1:22">
      <c r="A56" s="46"/>
      <c r="B56" s="41">
        <f t="shared" si="7"/>
        <v>19</v>
      </c>
      <c r="C56" s="199">
        <f>'Passby Data Set 2'!C42</f>
        <v>0.9</v>
      </c>
      <c r="D56" s="102">
        <f>'Passby Data Set 2'!D42</f>
        <v>100.3</v>
      </c>
      <c r="E56" s="103">
        <f>'Passby Data Set 2'!E42</f>
        <v>2.0702843333586882</v>
      </c>
      <c r="F56" s="104">
        <f t="shared" si="0"/>
        <v>10715193052.376068</v>
      </c>
      <c r="G56" s="41">
        <f t="shared" si="4"/>
        <v>41</v>
      </c>
      <c r="H56" s="102">
        <f>'Passby Data Set 2'!C64</f>
        <v>2</v>
      </c>
      <c r="I56" s="102">
        <f>'Passby Data Set 2'!D64</f>
        <v>101.9</v>
      </c>
      <c r="J56" s="103">
        <f>'Passby Data Set 2'!E64</f>
        <v>2.4890292235427776</v>
      </c>
      <c r="K56" s="104">
        <f t="shared" si="1"/>
        <v>15488166189.124903</v>
      </c>
      <c r="L56" s="41">
        <f t="shared" si="5"/>
        <v>63</v>
      </c>
      <c r="M56" s="102">
        <f>'Passby Data Set 2'!C86</f>
        <v>3.099999999999997</v>
      </c>
      <c r="N56" s="102">
        <f>'Passby Data Set 2'!D86</f>
        <v>98</v>
      </c>
      <c r="O56" s="103">
        <f>'Passby Data Set 2'!E86</f>
        <v>1.588656469448565</v>
      </c>
      <c r="P56" s="104">
        <f t="shared" si="2"/>
        <v>6309573444.8019466</v>
      </c>
      <c r="Q56" s="41">
        <f t="shared" si="6"/>
        <v>85</v>
      </c>
      <c r="R56" s="102">
        <f>'Passby Data Set 2'!C108</f>
        <v>4.1999999999999931</v>
      </c>
      <c r="S56" s="102">
        <f>'Passby Data Set 2'!D108</f>
        <v>72</v>
      </c>
      <c r="T56" s="103">
        <f>'Passby Data Set 2'!E108</f>
        <v>7.9621434110699538E-2</v>
      </c>
      <c r="U56" s="104">
        <f t="shared" si="3"/>
        <v>15848931.924611166</v>
      </c>
      <c r="V56" s="46"/>
    </row>
    <row r="57" spans="1:22">
      <c r="A57" s="46"/>
      <c r="B57" s="41">
        <f t="shared" si="7"/>
        <v>20</v>
      </c>
      <c r="C57" s="199">
        <f>'Passby Data Set 2'!C43</f>
        <v>0.95</v>
      </c>
      <c r="D57" s="102">
        <f>'Passby Data Set 2'!D43</f>
        <v>99.1</v>
      </c>
      <c r="E57" s="103">
        <f>'Passby Data Set 2'!E43</f>
        <v>1.8031422752119151</v>
      </c>
      <c r="F57" s="104">
        <f t="shared" si="0"/>
        <v>8128305161.6410027</v>
      </c>
      <c r="G57" s="41">
        <f t="shared" si="4"/>
        <v>42</v>
      </c>
      <c r="H57" s="102">
        <f>'Passby Data Set 2'!C65</f>
        <v>2.0499999999999998</v>
      </c>
      <c r="I57" s="102">
        <f>'Passby Data Set 2'!D65</f>
        <v>101</v>
      </c>
      <c r="J57" s="103">
        <f>'Passby Data Set 2'!E65</f>
        <v>2.2440369086039302</v>
      </c>
      <c r="K57" s="104">
        <f t="shared" si="1"/>
        <v>12589254117.941708</v>
      </c>
      <c r="L57" s="41">
        <f t="shared" si="5"/>
        <v>64</v>
      </c>
      <c r="M57" s="102">
        <f>'Passby Data Set 2'!C87</f>
        <v>3.1499999999999968</v>
      </c>
      <c r="N57" s="102">
        <f>'Passby Data Set 2'!D87</f>
        <v>96.9</v>
      </c>
      <c r="O57" s="103">
        <f>'Passby Data Set 2'!E87</f>
        <v>1.3996839920045494</v>
      </c>
      <c r="P57" s="104">
        <f t="shared" si="2"/>
        <v>4897788193.6844778</v>
      </c>
      <c r="Q57" s="584"/>
      <c r="R57" s="585"/>
      <c r="S57" s="585"/>
      <c r="T57" s="585"/>
      <c r="U57" s="586"/>
      <c r="V57" s="46"/>
    </row>
    <row r="58" spans="1:22">
      <c r="A58" s="46"/>
      <c r="B58" s="41">
        <f t="shared" si="7"/>
        <v>21</v>
      </c>
      <c r="C58" s="199">
        <f>'Passby Data Set 2'!C44</f>
        <v>1</v>
      </c>
      <c r="D58" s="102">
        <f>'Passby Data Set 2'!D44</f>
        <v>100</v>
      </c>
      <c r="E58" s="103">
        <f>'Passby Data Set 2'!E44</f>
        <v>2</v>
      </c>
      <c r="F58" s="104">
        <f t="shared" si="0"/>
        <v>9999999999.9999981</v>
      </c>
      <c r="G58" s="41">
        <f t="shared" si="4"/>
        <v>43</v>
      </c>
      <c r="H58" s="102">
        <f>'Passby Data Set 2'!C66</f>
        <v>2.1</v>
      </c>
      <c r="I58" s="102">
        <f>'Passby Data Set 2'!D66</f>
        <v>99</v>
      </c>
      <c r="J58" s="103">
        <f>'Passby Data Set 2'!E66</f>
        <v>1.7825018762674922</v>
      </c>
      <c r="K58" s="104">
        <f t="shared" si="1"/>
        <v>7943282347.2428246</v>
      </c>
      <c r="L58" s="41">
        <f t="shared" si="5"/>
        <v>65</v>
      </c>
      <c r="M58" s="102">
        <f>'Passby Data Set 2'!C88</f>
        <v>3.1999999999999966</v>
      </c>
      <c r="N58" s="102">
        <f>'Passby Data Set 2'!D88</f>
        <v>97</v>
      </c>
      <c r="O58" s="103">
        <f>'Passby Data Set 2'!E88</f>
        <v>1.4158915687682758</v>
      </c>
      <c r="P58" s="104">
        <f t="shared" si="2"/>
        <v>5011872336.2727213</v>
      </c>
      <c r="Q58" s="584"/>
      <c r="R58" s="585"/>
      <c r="S58" s="585"/>
      <c r="T58" s="585"/>
      <c r="U58" s="586"/>
      <c r="V58" s="46"/>
    </row>
    <row r="59" spans="1:22">
      <c r="A59" s="46"/>
      <c r="B59" s="41">
        <f t="shared" si="7"/>
        <v>22</v>
      </c>
      <c r="C59" s="199">
        <f>'Passby Data Set 2'!C45</f>
        <v>1.05</v>
      </c>
      <c r="D59" s="102">
        <f>'Passby Data Set 2'!D45</f>
        <v>99.1</v>
      </c>
      <c r="E59" s="103">
        <f>'Passby Data Set 2'!E45</f>
        <v>1.8031422752119151</v>
      </c>
      <c r="F59" s="104">
        <f t="shared" si="0"/>
        <v>8128305161.6410027</v>
      </c>
      <c r="G59" s="41">
        <f t="shared" si="4"/>
        <v>44</v>
      </c>
      <c r="H59" s="102">
        <f>'Passby Data Set 2'!C67</f>
        <v>2.15</v>
      </c>
      <c r="I59" s="102">
        <f>'Passby Data Set 2'!D67</f>
        <v>100</v>
      </c>
      <c r="J59" s="103">
        <f>'Passby Data Set 2'!E67</f>
        <v>2</v>
      </c>
      <c r="K59" s="104">
        <f t="shared" si="1"/>
        <v>9999999999.9999981</v>
      </c>
      <c r="L59" s="41">
        <f t="shared" si="5"/>
        <v>66</v>
      </c>
      <c r="M59" s="102">
        <f>'Passby Data Set 2'!C89</f>
        <v>3.2499999999999964</v>
      </c>
      <c r="N59" s="102">
        <f>'Passby Data Set 2'!D89</f>
        <v>95</v>
      </c>
      <c r="O59" s="103">
        <f>'Passby Data Set 2'!E89</f>
        <v>1.124682650380699</v>
      </c>
      <c r="P59" s="104">
        <f t="shared" si="2"/>
        <v>3162277660.1683841</v>
      </c>
      <c r="Q59" s="584"/>
      <c r="R59" s="585"/>
      <c r="S59" s="585"/>
      <c r="T59" s="585"/>
      <c r="U59" s="586"/>
      <c r="V59" s="46"/>
    </row>
    <row r="60" spans="1:22">
      <c r="A60" s="46"/>
      <c r="B60" s="114"/>
      <c r="C60" s="115"/>
      <c r="D60" s="115"/>
      <c r="E60" s="115"/>
      <c r="F60" s="8"/>
      <c r="G60" s="8"/>
      <c r="H60" s="8"/>
      <c r="I60" s="8"/>
      <c r="J60" s="8"/>
      <c r="K60" s="8"/>
      <c r="L60" s="8"/>
      <c r="M60" s="8"/>
      <c r="N60" s="8"/>
      <c r="O60" s="8"/>
      <c r="P60" s="8"/>
      <c r="Q60" s="8"/>
      <c r="R60" s="8"/>
      <c r="S60" s="8"/>
      <c r="T60" s="8"/>
      <c r="U60" s="9"/>
      <c r="V60" s="46"/>
    </row>
    <row r="61" spans="1:22" ht="15" customHeight="1">
      <c r="A61" s="46"/>
      <c r="B61" s="116" t="s">
        <v>736</v>
      </c>
      <c r="C61" s="117"/>
      <c r="D61" s="76"/>
      <c r="E61" s="85"/>
      <c r="F61" s="11"/>
      <c r="G61" s="11"/>
      <c r="H61" s="11"/>
      <c r="I61" s="15">
        <v>16</v>
      </c>
      <c r="J61" s="15" t="s">
        <v>238</v>
      </c>
      <c r="K61" s="11"/>
      <c r="L61" s="11"/>
      <c r="M61" s="11"/>
      <c r="N61" s="11"/>
      <c r="O61" s="11"/>
      <c r="P61" s="11"/>
      <c r="Q61" s="11"/>
      <c r="R61" s="11"/>
      <c r="S61" s="11"/>
      <c r="T61" s="11"/>
      <c r="U61" s="12"/>
      <c r="V61" s="46"/>
    </row>
    <row r="62" spans="1:22" ht="15" customHeight="1">
      <c r="A62" s="46"/>
      <c r="B62" s="116" t="s">
        <v>792</v>
      </c>
      <c r="C62" s="66"/>
      <c r="D62" s="76"/>
      <c r="E62" s="85"/>
      <c r="F62" s="11"/>
      <c r="G62" s="11"/>
      <c r="H62" s="11"/>
      <c r="I62" s="15">
        <v>64</v>
      </c>
      <c r="J62" s="15" t="s">
        <v>239</v>
      </c>
      <c r="K62" s="11" t="s">
        <v>240</v>
      </c>
      <c r="L62" s="11"/>
      <c r="M62" s="11"/>
      <c r="N62" s="118">
        <f>(SUM(F53:F59)+SUM(K38:K59)+SUM(P38:P57))*$P$32</f>
        <v>20877145491.233932</v>
      </c>
      <c r="O62" s="11"/>
      <c r="P62" s="11"/>
      <c r="Q62" s="11"/>
      <c r="R62" s="11"/>
      <c r="S62" s="11"/>
      <c r="T62" s="11"/>
      <c r="U62" s="12"/>
      <c r="V62" s="46"/>
    </row>
    <row r="63" spans="1:22" ht="15" customHeight="1">
      <c r="A63" s="46"/>
      <c r="B63" s="116"/>
      <c r="C63" s="66"/>
      <c r="D63" s="76"/>
      <c r="E63" s="85"/>
      <c r="F63" s="11"/>
      <c r="G63" s="11"/>
      <c r="H63" s="11"/>
      <c r="I63" s="15"/>
      <c r="J63" s="15"/>
      <c r="K63" s="11"/>
      <c r="L63" s="11"/>
      <c r="M63" s="11"/>
      <c r="N63" s="118"/>
      <c r="O63" s="11"/>
      <c r="P63" s="11"/>
      <c r="Q63" s="11"/>
      <c r="R63" s="11"/>
      <c r="S63" s="11"/>
      <c r="T63" s="11"/>
      <c r="U63" s="12"/>
      <c r="V63" s="46"/>
    </row>
    <row r="64" spans="1:22">
      <c r="A64" s="46"/>
      <c r="B64" s="116"/>
      <c r="C64" s="66"/>
      <c r="D64" s="76"/>
      <c r="E64" s="85"/>
      <c r="F64" s="11"/>
      <c r="G64" s="11"/>
      <c r="H64" s="11"/>
      <c r="I64" s="11"/>
      <c r="J64" s="11"/>
      <c r="K64" s="11"/>
      <c r="L64" s="11"/>
      <c r="M64" s="11"/>
      <c r="N64" s="11"/>
      <c r="O64" s="11"/>
      <c r="P64" s="11"/>
      <c r="Q64" s="11"/>
      <c r="R64" s="11"/>
      <c r="S64" s="11"/>
      <c r="T64" s="11"/>
      <c r="U64" s="12"/>
      <c r="V64" s="46"/>
    </row>
    <row r="65" spans="1:23" ht="16.5">
      <c r="A65" s="46"/>
      <c r="B65" s="116" t="s">
        <v>241</v>
      </c>
      <c r="C65" s="66"/>
      <c r="D65" s="76"/>
      <c r="E65" s="85"/>
      <c r="F65" s="158" t="s">
        <v>291</v>
      </c>
      <c r="G65" s="147">
        <f>10*LOG10((1/D15)*N62)</f>
        <v>99.332179485115475</v>
      </c>
      <c r="H65" s="113" t="s">
        <v>28</v>
      </c>
      <c r="I65" s="11"/>
      <c r="J65" s="11"/>
      <c r="K65" s="11"/>
      <c r="L65" s="11"/>
      <c r="M65" s="11"/>
      <c r="N65" s="11"/>
      <c r="O65" s="11"/>
      <c r="P65" s="11"/>
      <c r="Q65" s="11"/>
      <c r="R65" s="11"/>
      <c r="S65" s="11"/>
      <c r="T65" s="11"/>
      <c r="U65" s="12"/>
      <c r="V65" s="46"/>
    </row>
    <row r="66" spans="1:23">
      <c r="A66" s="46"/>
      <c r="B66" s="116"/>
      <c r="C66" s="66"/>
      <c r="D66" s="66"/>
      <c r="E66" s="85"/>
      <c r="F66" s="11"/>
      <c r="G66" s="11"/>
      <c r="H66" s="11"/>
      <c r="I66" s="11"/>
      <c r="J66" s="11"/>
      <c r="K66" s="11"/>
      <c r="L66" s="11"/>
      <c r="M66" s="11"/>
      <c r="N66" s="11"/>
      <c r="O66" s="11"/>
      <c r="P66" s="11"/>
      <c r="Q66" s="11"/>
      <c r="R66" s="11"/>
      <c r="S66" s="11"/>
      <c r="T66" s="11"/>
      <c r="U66" s="12"/>
      <c r="V66" s="46"/>
    </row>
    <row r="67" spans="1:23">
      <c r="A67" s="46"/>
      <c r="B67" s="119"/>
      <c r="C67" s="120"/>
      <c r="D67" s="121"/>
      <c r="E67" s="122"/>
      <c r="F67" s="18"/>
      <c r="G67" s="18"/>
      <c r="H67" s="18"/>
      <c r="I67" s="18"/>
      <c r="J67" s="18"/>
      <c r="K67" s="18"/>
      <c r="L67" s="18"/>
      <c r="M67" s="18"/>
      <c r="N67" s="18"/>
      <c r="O67" s="18"/>
      <c r="P67" s="18"/>
      <c r="Q67" s="18"/>
      <c r="R67" s="18"/>
      <c r="S67" s="18"/>
      <c r="T67" s="18"/>
      <c r="U67" s="19"/>
      <c r="V67" s="46"/>
    </row>
    <row r="68" spans="1:23">
      <c r="A68" s="46"/>
      <c r="B68" s="79"/>
      <c r="C68" s="82"/>
      <c r="D68" s="82"/>
      <c r="E68" s="85"/>
      <c r="F68" s="11"/>
      <c r="G68" s="46"/>
      <c r="H68" s="46"/>
      <c r="I68" s="46"/>
      <c r="J68" s="46"/>
      <c r="K68" s="46"/>
      <c r="L68" s="46"/>
      <c r="M68" s="46"/>
      <c r="N68" s="46"/>
      <c r="O68" s="46"/>
      <c r="P68" s="46"/>
      <c r="Q68" s="46"/>
      <c r="R68" s="46"/>
      <c r="S68" s="46"/>
      <c r="T68" s="46"/>
      <c r="U68" s="46"/>
      <c r="V68" s="46"/>
      <c r="W68" s="46"/>
    </row>
    <row r="69" spans="1:23">
      <c r="A69" s="46"/>
      <c r="B69" s="132" t="s">
        <v>255</v>
      </c>
      <c r="C69" s="133"/>
      <c r="D69" s="133"/>
      <c r="E69" s="134"/>
      <c r="F69" s="8"/>
      <c r="G69" s="8"/>
      <c r="H69" s="8"/>
      <c r="I69" s="8"/>
      <c r="J69" s="8"/>
      <c r="K69" s="8"/>
      <c r="L69" s="8"/>
      <c r="M69" s="8"/>
      <c r="N69" s="8"/>
      <c r="O69" s="8"/>
      <c r="P69" s="8" t="s">
        <v>452</v>
      </c>
      <c r="Q69" s="8"/>
      <c r="R69" s="8"/>
      <c r="S69" s="8"/>
      <c r="T69" s="8"/>
      <c r="U69" s="9"/>
      <c r="V69" s="46"/>
    </row>
    <row r="70" spans="1:23" ht="36" customHeight="1">
      <c r="A70" s="46"/>
      <c r="B70" s="116"/>
      <c r="C70" s="66"/>
      <c r="D70" s="66"/>
      <c r="E70" s="398" t="s">
        <v>40</v>
      </c>
      <c r="F70" s="398" t="s">
        <v>41</v>
      </c>
      <c r="G70" s="398" t="s">
        <v>256</v>
      </c>
      <c r="H70" s="538" t="s">
        <v>267</v>
      </c>
      <c r="I70" s="501"/>
      <c r="J70" s="501"/>
      <c r="K70" s="454"/>
      <c r="L70" s="505"/>
      <c r="M70" s="504" t="s">
        <v>264</v>
      </c>
      <c r="N70" s="506"/>
      <c r="O70" s="11"/>
      <c r="P70" s="73" t="s">
        <v>716</v>
      </c>
      <c r="Q70" s="220"/>
      <c r="R70" s="220"/>
      <c r="S70" s="220"/>
      <c r="T70" s="220"/>
      <c r="U70" s="12"/>
      <c r="V70" s="46"/>
    </row>
    <row r="71" spans="1:23" ht="20.149999999999999" customHeight="1">
      <c r="A71" s="46"/>
      <c r="B71" s="116"/>
      <c r="C71" s="135"/>
      <c r="D71" s="66"/>
      <c r="E71" s="512"/>
      <c r="F71" s="512"/>
      <c r="G71" s="471"/>
      <c r="H71" s="394" t="s">
        <v>257</v>
      </c>
      <c r="I71" s="167" t="s">
        <v>258</v>
      </c>
      <c r="J71" s="167" t="s">
        <v>259</v>
      </c>
      <c r="K71" s="393" t="s">
        <v>260</v>
      </c>
      <c r="L71" s="429"/>
      <c r="M71" s="503"/>
      <c r="N71" s="430"/>
      <c r="O71" s="11"/>
      <c r="P71" s="73" t="s">
        <v>717</v>
      </c>
      <c r="Q71" s="220"/>
      <c r="R71" s="220"/>
      <c r="S71" s="220"/>
      <c r="T71" s="220"/>
      <c r="U71" s="12"/>
      <c r="V71" s="46"/>
    </row>
    <row r="72" spans="1:23">
      <c r="A72" s="46"/>
      <c r="B72" s="116"/>
      <c r="C72" s="66"/>
      <c r="D72" s="66"/>
      <c r="E72" s="587">
        <v>1</v>
      </c>
      <c r="F72" s="502">
        <v>7.5</v>
      </c>
      <c r="G72" s="502">
        <v>1.2</v>
      </c>
      <c r="H72" s="96"/>
      <c r="I72" s="96" t="s">
        <v>263</v>
      </c>
      <c r="J72" s="96"/>
      <c r="K72" s="96"/>
      <c r="L72" s="507" t="s">
        <v>268</v>
      </c>
      <c r="M72" s="695"/>
      <c r="N72" s="649"/>
      <c r="O72" s="11"/>
      <c r="P72" s="374" t="s">
        <v>718</v>
      </c>
      <c r="Q72" s="215"/>
      <c r="R72" s="215"/>
      <c r="S72" s="215"/>
      <c r="T72" s="215"/>
      <c r="U72" s="12"/>
      <c r="V72" s="46"/>
    </row>
    <row r="73" spans="1:23">
      <c r="A73" s="46"/>
      <c r="B73" s="116"/>
      <c r="C73" s="66"/>
      <c r="D73" s="66"/>
      <c r="E73" s="69">
        <v>2</v>
      </c>
      <c r="F73" s="96">
        <v>7.5</v>
      </c>
      <c r="G73" s="96">
        <v>3.5</v>
      </c>
      <c r="H73" s="96"/>
      <c r="I73" s="96" t="s">
        <v>263</v>
      </c>
      <c r="J73" s="96"/>
      <c r="K73" s="96"/>
      <c r="L73" s="508" t="s">
        <v>269</v>
      </c>
      <c r="M73" s="508"/>
      <c r="N73" s="508"/>
      <c r="O73" s="11"/>
      <c r="P73" s="376" t="s">
        <v>720</v>
      </c>
      <c r="Q73" s="215"/>
      <c r="R73" s="215"/>
      <c r="S73" s="215"/>
      <c r="T73" s="215"/>
      <c r="U73" s="12"/>
      <c r="V73" s="46"/>
    </row>
    <row r="74" spans="1:23">
      <c r="A74" s="46"/>
      <c r="B74" s="116"/>
      <c r="C74" s="66"/>
      <c r="D74" s="66"/>
      <c r="E74" s="69">
        <v>3</v>
      </c>
      <c r="F74" s="96">
        <v>25</v>
      </c>
      <c r="G74" s="96">
        <v>3.5</v>
      </c>
      <c r="H74" s="96"/>
      <c r="I74" s="96" t="s">
        <v>262</v>
      </c>
      <c r="J74" s="96"/>
      <c r="K74" s="281" t="s">
        <v>261</v>
      </c>
      <c r="L74" s="508" t="s">
        <v>265</v>
      </c>
      <c r="M74" s="508"/>
      <c r="N74" s="508"/>
      <c r="O74" s="11"/>
      <c r="P74" s="375" t="s">
        <v>719</v>
      </c>
      <c r="Q74" s="215"/>
      <c r="R74" s="215"/>
      <c r="S74" s="215"/>
      <c r="T74" s="215"/>
      <c r="U74" s="12"/>
      <c r="V74" s="46"/>
    </row>
    <row r="75" spans="1:23">
      <c r="A75" s="46"/>
      <c r="B75" s="116"/>
      <c r="C75" s="66"/>
      <c r="D75" s="66"/>
      <c r="E75" s="69">
        <v>4</v>
      </c>
      <c r="F75" s="96">
        <v>30</v>
      </c>
      <c r="G75" s="96">
        <v>1.2</v>
      </c>
      <c r="H75" s="96" t="s">
        <v>261</v>
      </c>
      <c r="I75" s="96"/>
      <c r="J75" s="96" t="s">
        <v>261</v>
      </c>
      <c r="K75" s="96"/>
      <c r="L75" s="508" t="s">
        <v>436</v>
      </c>
      <c r="M75" s="508"/>
      <c r="N75" s="508"/>
      <c r="O75" s="11"/>
      <c r="P75" s="374" t="s">
        <v>721</v>
      </c>
      <c r="Q75" s="213"/>
      <c r="R75" s="213"/>
      <c r="S75" s="213"/>
      <c r="T75" s="213"/>
      <c r="U75" s="12"/>
      <c r="V75" s="46"/>
    </row>
    <row r="76" spans="1:23" ht="19.5" customHeight="1">
      <c r="A76" s="46"/>
      <c r="B76" s="116"/>
      <c r="C76" s="136" t="s">
        <v>714</v>
      </c>
      <c r="D76" s="66"/>
      <c r="E76" s="109"/>
      <c r="F76" s="125"/>
      <c r="G76" s="125"/>
      <c r="H76" s="11"/>
      <c r="I76" s="11"/>
      <c r="J76" s="11"/>
      <c r="K76" s="11"/>
      <c r="L76" s="11"/>
      <c r="M76" s="11"/>
      <c r="N76" s="11"/>
      <c r="O76" s="11"/>
      <c r="P76" s="376" t="s">
        <v>722</v>
      </c>
      <c r="Q76" s="11"/>
      <c r="R76" s="11"/>
      <c r="S76" s="11"/>
      <c r="T76" s="11"/>
      <c r="U76" s="12"/>
      <c r="V76" s="46"/>
    </row>
    <row r="77" spans="1:23">
      <c r="A77" s="46"/>
      <c r="B77" s="116"/>
      <c r="C77" s="136" t="s">
        <v>715</v>
      </c>
      <c r="D77" s="66"/>
      <c r="E77" s="109"/>
      <c r="F77" s="11"/>
      <c r="G77" s="11"/>
      <c r="H77" s="11"/>
      <c r="I77" s="11"/>
      <c r="J77" s="11"/>
      <c r="K77" s="11"/>
      <c r="L77" s="11"/>
      <c r="M77" s="11"/>
      <c r="N77" s="11"/>
      <c r="O77" s="11"/>
      <c r="P77" s="376" t="s">
        <v>723</v>
      </c>
      <c r="Q77" s="11"/>
      <c r="R77" s="11"/>
      <c r="S77" s="11"/>
      <c r="T77" s="11"/>
      <c r="U77" s="12"/>
      <c r="V77" s="46"/>
    </row>
    <row r="78" spans="1:23" ht="40.5" customHeight="1">
      <c r="A78" s="46"/>
      <c r="B78" s="116"/>
      <c r="C78" s="66"/>
      <c r="D78" s="66"/>
      <c r="E78" s="404" t="s">
        <v>40</v>
      </c>
      <c r="F78" s="496" t="s">
        <v>41</v>
      </c>
      <c r="G78" s="495" t="s">
        <v>256</v>
      </c>
      <c r="H78" s="441" t="s">
        <v>803</v>
      </c>
      <c r="I78" s="403"/>
      <c r="J78" s="518" t="s">
        <v>802</v>
      </c>
      <c r="K78" s="415"/>
      <c r="L78" s="11"/>
      <c r="M78" s="11"/>
      <c r="N78" s="11"/>
      <c r="O78" s="11"/>
      <c r="P78" s="709"/>
      <c r="Q78" s="628" t="s">
        <v>895</v>
      </c>
      <c r="R78" s="513"/>
      <c r="S78" s="505"/>
      <c r="T78" s="513"/>
      <c r="U78" s="710"/>
      <c r="V78" s="46"/>
    </row>
    <row r="79" spans="1:23" ht="14" customHeight="1">
      <c r="A79" s="46"/>
      <c r="B79" s="116"/>
      <c r="C79" s="66"/>
      <c r="D79" s="66"/>
      <c r="E79" s="512"/>
      <c r="F79" s="512"/>
      <c r="G79" s="471"/>
      <c r="H79" s="672"/>
      <c r="I79" s="510"/>
      <c r="J79" s="672"/>
      <c r="K79" s="510"/>
      <c r="L79" s="11"/>
      <c r="M79" s="123" t="s">
        <v>271</v>
      </c>
      <c r="N79" s="11"/>
      <c r="O79" s="11"/>
      <c r="P79" s="11"/>
      <c r="Q79" s="590" t="s">
        <v>809</v>
      </c>
      <c r="R79" s="588"/>
      <c r="S79" s="511"/>
      <c r="T79" s="588"/>
      <c r="U79" s="710"/>
      <c r="V79" s="46"/>
    </row>
    <row r="80" spans="1:23" ht="17" customHeight="1">
      <c r="A80" s="46"/>
      <c r="B80" s="116"/>
      <c r="C80" s="66"/>
      <c r="D80" s="66"/>
      <c r="E80" s="587">
        <v>1</v>
      </c>
      <c r="F80" s="502">
        <v>7.5</v>
      </c>
      <c r="G80" s="698">
        <v>1.2</v>
      </c>
      <c r="H80" s="701"/>
      <c r="I80" s="707">
        <f>G65</f>
        <v>99.332179485115475</v>
      </c>
      <c r="J80" s="701"/>
      <c r="K80" s="704">
        <f>0.00002*10^(I80/20)</f>
        <v>1.8519914182547352</v>
      </c>
      <c r="L80" s="11"/>
      <c r="M80" s="11" t="s">
        <v>270</v>
      </c>
      <c r="N80" s="11"/>
      <c r="O80" s="11"/>
      <c r="P80" s="11"/>
      <c r="Q80" s="589" t="s">
        <v>399</v>
      </c>
      <c r="R80" s="590" t="s">
        <v>403</v>
      </c>
      <c r="S80" s="452"/>
      <c r="T80" s="453"/>
      <c r="U80" s="12"/>
      <c r="V80" s="46"/>
    </row>
    <row r="81" spans="1:22">
      <c r="A81" s="46"/>
      <c r="B81" s="116"/>
      <c r="C81" s="66"/>
      <c r="D81" s="66"/>
      <c r="E81" s="69">
        <v>2</v>
      </c>
      <c r="F81" s="96">
        <v>7.5</v>
      </c>
      <c r="G81" s="698">
        <v>3.5</v>
      </c>
      <c r="H81" s="17"/>
      <c r="I81" s="707">
        <f>I80*R129</f>
        <v>102.10324886989338</v>
      </c>
      <c r="J81" s="701"/>
      <c r="K81" s="704">
        <f>0.00002*10^(I81/20)</f>
        <v>2.5479590223327344</v>
      </c>
      <c r="L81" s="11"/>
      <c r="M81" s="112" t="s">
        <v>724</v>
      </c>
      <c r="N81" s="11"/>
      <c r="O81" s="11"/>
      <c r="P81" s="11"/>
      <c r="Q81" s="471"/>
      <c r="R81" s="167" t="s">
        <v>400</v>
      </c>
      <c r="S81" s="469" t="s">
        <v>401</v>
      </c>
      <c r="T81" s="469" t="s">
        <v>402</v>
      </c>
      <c r="U81" s="12"/>
      <c r="V81" s="46"/>
    </row>
    <row r="82" spans="1:22">
      <c r="A82" s="46"/>
      <c r="B82" s="116"/>
      <c r="C82" s="66"/>
      <c r="D82" s="66"/>
      <c r="E82" s="69">
        <v>3</v>
      </c>
      <c r="F82" s="96">
        <v>25</v>
      </c>
      <c r="G82" s="698">
        <v>3.5</v>
      </c>
      <c r="H82" s="701"/>
      <c r="I82" s="708">
        <f>I80*S129</f>
        <v>87.395265212226064</v>
      </c>
      <c r="J82" s="701"/>
      <c r="K82" s="704">
        <f>0.00002*10^(I82/20)</f>
        <v>0.46859025898259116</v>
      </c>
      <c r="L82" s="11"/>
      <c r="M82" s="11" t="s">
        <v>725</v>
      </c>
      <c r="N82" s="11"/>
      <c r="O82" s="11"/>
      <c r="P82" s="11"/>
      <c r="Q82" s="178">
        <v>271</v>
      </c>
      <c r="R82" s="179">
        <v>93.2</v>
      </c>
      <c r="S82" s="179">
        <v>95.8</v>
      </c>
      <c r="T82" s="179">
        <v>82</v>
      </c>
      <c r="U82" s="12"/>
      <c r="V82" s="46"/>
    </row>
    <row r="83" spans="1:22">
      <c r="A83" s="46"/>
      <c r="B83" s="116"/>
      <c r="C83" s="66"/>
      <c r="D83" s="66"/>
      <c r="E83" s="69">
        <v>4</v>
      </c>
      <c r="F83" s="96">
        <v>30</v>
      </c>
      <c r="G83" s="698">
        <v>1.2</v>
      </c>
      <c r="H83" s="17"/>
      <c r="I83" s="708">
        <f>I82-10*LOG10(F83/F82)</f>
        <v>86.603452751749813</v>
      </c>
      <c r="J83" s="17"/>
      <c r="K83" s="704">
        <f>0.00002*10^(I83/20)</f>
        <v>0.42776242511992157</v>
      </c>
      <c r="L83" s="11"/>
      <c r="M83" s="11" t="s">
        <v>726</v>
      </c>
      <c r="N83" s="11"/>
      <c r="O83" s="11"/>
      <c r="P83" s="11"/>
      <c r="Q83" s="178">
        <v>341</v>
      </c>
      <c r="R83" s="179">
        <v>96.5</v>
      </c>
      <c r="S83" s="179">
        <v>98</v>
      </c>
      <c r="T83" s="179">
        <v>85.5</v>
      </c>
      <c r="U83" s="12"/>
      <c r="V83" s="46"/>
    </row>
    <row r="84" spans="1:22">
      <c r="A84" s="46"/>
      <c r="B84" s="116"/>
      <c r="C84" s="76"/>
      <c r="D84" s="66"/>
      <c r="E84" s="139" t="s">
        <v>86</v>
      </c>
      <c r="F84" s="11"/>
      <c r="G84" s="11"/>
      <c r="H84" s="11"/>
      <c r="I84" s="11"/>
      <c r="J84" s="11"/>
      <c r="K84" s="11"/>
      <c r="L84" s="11"/>
      <c r="M84" s="18" t="s">
        <v>727</v>
      </c>
      <c r="N84" s="18"/>
      <c r="O84" s="18"/>
      <c r="P84" s="18"/>
      <c r="Q84" s="178">
        <v>386</v>
      </c>
      <c r="R84" s="179">
        <v>98.5</v>
      </c>
      <c r="S84" s="179">
        <v>100.1</v>
      </c>
      <c r="T84" s="179">
        <v>88.1</v>
      </c>
      <c r="U84" s="12"/>
      <c r="V84" s="46"/>
    </row>
    <row r="85" spans="1:22">
      <c r="A85" s="46"/>
      <c r="B85" s="119"/>
      <c r="C85" s="120"/>
      <c r="D85" s="137"/>
      <c r="E85" s="138"/>
      <c r="F85" s="18"/>
      <c r="G85" s="18"/>
      <c r="H85" s="18"/>
      <c r="I85" s="18"/>
      <c r="J85" s="18"/>
      <c r="K85" s="18"/>
      <c r="L85" s="18"/>
      <c r="M85" s="18"/>
      <c r="N85" s="18"/>
      <c r="O85" s="18"/>
      <c r="P85" s="18"/>
      <c r="Q85" s="18"/>
      <c r="R85" s="18"/>
      <c r="S85" s="18"/>
      <c r="T85" s="18"/>
      <c r="U85" s="19"/>
      <c r="V85" s="46"/>
    </row>
    <row r="86" spans="1:22">
      <c r="A86" s="46"/>
      <c r="B86" s="76"/>
      <c r="C86" s="76"/>
      <c r="D86" s="66"/>
      <c r="E86" s="139"/>
      <c r="F86" s="11"/>
      <c r="G86" s="11"/>
      <c r="H86" s="11"/>
      <c r="I86" s="11"/>
      <c r="J86" s="11"/>
      <c r="K86" s="11"/>
      <c r="L86" s="11"/>
      <c r="M86" s="11"/>
      <c r="N86" s="11"/>
      <c r="O86" s="11"/>
      <c r="P86" s="11"/>
      <c r="Q86" s="11"/>
      <c r="R86" s="11"/>
      <c r="S86" s="11"/>
      <c r="T86" s="11"/>
      <c r="U86" s="11"/>
      <c r="V86" s="46"/>
    </row>
    <row r="87" spans="1:22">
      <c r="A87" s="46"/>
      <c r="B87" s="132" t="s">
        <v>272</v>
      </c>
      <c r="C87" s="140"/>
      <c r="D87" s="133"/>
      <c r="E87" s="141"/>
      <c r="F87" s="8"/>
      <c r="G87" s="8"/>
      <c r="H87" s="8"/>
      <c r="I87" s="8"/>
      <c r="J87" s="8"/>
      <c r="K87" s="8"/>
      <c r="L87" s="8"/>
      <c r="M87" s="8"/>
      <c r="N87" s="8"/>
      <c r="O87" s="8"/>
      <c r="P87" s="8"/>
      <c r="Q87" s="8"/>
      <c r="R87" s="8"/>
      <c r="S87" s="8"/>
      <c r="T87" s="8"/>
      <c r="U87" s="9"/>
      <c r="V87" s="46"/>
    </row>
    <row r="88" spans="1:22" ht="16.5">
      <c r="A88" s="46"/>
      <c r="B88" s="116" t="s">
        <v>382</v>
      </c>
      <c r="C88" s="76"/>
      <c r="D88" s="66"/>
      <c r="E88" s="139"/>
      <c r="F88" s="11"/>
      <c r="G88" s="11"/>
      <c r="H88" s="158" t="s">
        <v>710</v>
      </c>
      <c r="I88" s="11" t="s">
        <v>737</v>
      </c>
      <c r="J88" s="11"/>
      <c r="K88" s="11"/>
      <c r="L88" s="11"/>
      <c r="M88" s="11"/>
      <c r="N88" s="11"/>
      <c r="O88" s="11"/>
      <c r="P88" s="11"/>
      <c r="Q88" s="11"/>
      <c r="R88" s="11"/>
      <c r="S88" s="11"/>
      <c r="T88" s="11"/>
      <c r="U88" s="12"/>
      <c r="V88" s="46"/>
    </row>
    <row r="89" spans="1:22" ht="16.5">
      <c r="A89" s="46"/>
      <c r="B89" s="145" t="s">
        <v>710</v>
      </c>
      <c r="C89" s="158"/>
      <c r="D89" s="200">
        <f>MAX('Passby Data Set 2'!D24:D108)</f>
        <v>102</v>
      </c>
      <c r="E89" s="143" t="s">
        <v>28</v>
      </c>
      <c r="F89" s="11" t="s">
        <v>273</v>
      </c>
      <c r="G89" s="11"/>
      <c r="H89" s="15">
        <v>46</v>
      </c>
      <c r="I89" s="11" t="s">
        <v>283</v>
      </c>
      <c r="J89" s="45"/>
      <c r="K89" s="107">
        <v>2.25</v>
      </c>
      <c r="L89" s="11" t="s">
        <v>237</v>
      </c>
      <c r="M89" s="11"/>
      <c r="N89" s="11"/>
      <c r="O89" s="11"/>
      <c r="P89" s="11"/>
      <c r="Q89" s="11"/>
      <c r="R89" s="11"/>
      <c r="S89" s="11"/>
      <c r="T89" s="11"/>
      <c r="U89" s="12"/>
      <c r="V89" s="46"/>
    </row>
    <row r="90" spans="1:22">
      <c r="A90" s="46"/>
      <c r="B90" s="116"/>
      <c r="C90" s="76"/>
      <c r="D90" s="66"/>
      <c r="E90" s="143"/>
      <c r="F90" s="11"/>
      <c r="G90" s="11"/>
      <c r="H90" s="15"/>
      <c r="I90" s="11"/>
      <c r="J90" s="107"/>
      <c r="K90" s="11"/>
      <c r="L90" s="11"/>
      <c r="M90" s="11"/>
      <c r="N90" s="11"/>
      <c r="O90" s="11"/>
      <c r="P90" s="11"/>
      <c r="Q90" s="11"/>
      <c r="R90" s="11"/>
      <c r="S90" s="11"/>
      <c r="T90" s="11"/>
      <c r="U90" s="12"/>
      <c r="V90" s="46"/>
    </row>
    <row r="91" spans="1:22" ht="16.5">
      <c r="A91" s="46"/>
      <c r="B91" s="144" t="s">
        <v>274</v>
      </c>
      <c r="C91" s="76"/>
      <c r="D91" s="66"/>
      <c r="E91" s="143"/>
      <c r="F91" s="11"/>
      <c r="G91" s="11"/>
      <c r="H91" s="15"/>
      <c r="I91" s="11"/>
      <c r="J91" s="107"/>
      <c r="K91" s="11"/>
      <c r="L91" s="11"/>
      <c r="M91" s="11"/>
      <c r="N91" s="11"/>
      <c r="O91" s="11"/>
      <c r="P91" s="11"/>
      <c r="Q91" s="11"/>
      <c r="R91" s="11"/>
      <c r="S91" s="11"/>
      <c r="T91" s="11"/>
      <c r="U91" s="12"/>
      <c r="V91" s="46"/>
    </row>
    <row r="92" spans="1:22">
      <c r="A92" s="46"/>
      <c r="B92" s="145"/>
      <c r="C92" s="76"/>
      <c r="D92" s="66"/>
      <c r="E92" s="139"/>
      <c r="F92" s="11"/>
      <c r="G92" s="11"/>
      <c r="H92" s="11"/>
      <c r="I92" s="11"/>
      <c r="J92" s="11"/>
      <c r="K92" s="11"/>
      <c r="L92" s="11"/>
      <c r="M92" s="11" t="s">
        <v>190</v>
      </c>
      <c r="N92" s="11"/>
      <c r="O92" s="11"/>
      <c r="P92" s="11"/>
      <c r="Q92" s="11"/>
      <c r="R92" s="11"/>
      <c r="S92" s="11"/>
      <c r="T92" s="11"/>
      <c r="U92" s="12"/>
      <c r="V92" s="46"/>
    </row>
    <row r="93" spans="1:22" ht="16.5">
      <c r="A93" s="46"/>
      <c r="B93" s="116" t="s">
        <v>275</v>
      </c>
      <c r="C93" s="76"/>
      <c r="D93" s="66"/>
      <c r="E93" s="139"/>
      <c r="F93" s="11"/>
      <c r="G93" s="11"/>
      <c r="H93" s="11"/>
      <c r="I93" s="11"/>
      <c r="J93" s="11"/>
      <c r="K93" s="11"/>
      <c r="L93" s="11" t="s">
        <v>278</v>
      </c>
      <c r="M93" s="11"/>
      <c r="N93" s="11"/>
      <c r="O93" s="11"/>
      <c r="P93" s="11"/>
      <c r="Q93" s="11"/>
      <c r="R93" s="11"/>
      <c r="S93" s="11"/>
      <c r="T93" s="11"/>
      <c r="U93" s="12"/>
      <c r="V93" s="46"/>
    </row>
    <row r="94" spans="1:22">
      <c r="A94" s="46"/>
      <c r="B94" s="116"/>
      <c r="C94" s="76"/>
      <c r="D94" s="66"/>
      <c r="E94" s="139"/>
      <c r="F94" s="11"/>
      <c r="G94" s="11"/>
      <c r="H94" s="11"/>
      <c r="I94" s="11"/>
      <c r="J94" s="11"/>
      <c r="K94" s="11"/>
      <c r="L94" s="11" t="s">
        <v>279</v>
      </c>
      <c r="M94" s="11"/>
      <c r="N94" s="11"/>
      <c r="O94" s="11"/>
      <c r="P94" s="11"/>
      <c r="Q94" s="11"/>
      <c r="R94" s="11"/>
      <c r="S94" s="11"/>
      <c r="T94" s="11"/>
      <c r="U94" s="12"/>
      <c r="V94" s="46"/>
    </row>
    <row r="95" spans="1:22" ht="16.5">
      <c r="A95" s="46"/>
      <c r="B95" s="116" t="s">
        <v>276</v>
      </c>
      <c r="C95" s="76"/>
      <c r="D95" s="66"/>
      <c r="E95" s="139"/>
      <c r="F95" s="15">
        <v>1.5</v>
      </c>
      <c r="G95" s="11" t="s">
        <v>277</v>
      </c>
      <c r="H95" s="11">
        <v>2.5</v>
      </c>
      <c r="I95" s="11"/>
      <c r="J95" s="112" t="s">
        <v>284</v>
      </c>
      <c r="K95" s="112"/>
      <c r="L95" s="147">
        <f t="array" ref="L95">10*LOG(AVERAGE(10^('Passby Data Set 2'!D54:'Passby Data Set 2'!D74/10)))</f>
        <v>99.663228156470112</v>
      </c>
      <c r="M95" s="113" t="s">
        <v>28</v>
      </c>
      <c r="N95" s="11"/>
      <c r="O95" s="11"/>
      <c r="P95" s="11"/>
      <c r="Q95" s="11"/>
      <c r="R95" s="11"/>
      <c r="S95" s="11"/>
      <c r="T95" s="11"/>
      <c r="U95" s="12"/>
      <c r="V95" s="46"/>
    </row>
    <row r="96" spans="1:22" ht="16.5">
      <c r="A96" s="46"/>
      <c r="B96" s="116" t="s">
        <v>280</v>
      </c>
      <c r="C96" s="76"/>
      <c r="D96" s="66"/>
      <c r="E96" s="139"/>
      <c r="F96" s="11"/>
      <c r="G96" s="11"/>
      <c r="H96" s="11"/>
      <c r="I96" s="11"/>
      <c r="J96" s="11"/>
      <c r="K96" s="11"/>
      <c r="L96" s="11"/>
      <c r="M96" s="11"/>
      <c r="N96" s="11"/>
      <c r="O96" s="11"/>
      <c r="P96" s="11"/>
      <c r="Q96" s="11"/>
      <c r="R96" s="11"/>
      <c r="S96" s="11"/>
      <c r="T96" s="11"/>
      <c r="U96" s="12"/>
      <c r="V96" s="46"/>
    </row>
    <row r="97" spans="1:22" ht="16.5">
      <c r="A97" s="46"/>
      <c r="B97" s="119" t="s">
        <v>281</v>
      </c>
      <c r="C97" s="120"/>
      <c r="D97" s="137"/>
      <c r="E97" s="138"/>
      <c r="F97" s="18"/>
      <c r="G97" s="146">
        <v>2.15</v>
      </c>
      <c r="H97" s="108" t="s">
        <v>277</v>
      </c>
      <c r="I97" s="108">
        <v>2.2749999999999999</v>
      </c>
      <c r="J97" s="18"/>
      <c r="K97" s="148" t="s">
        <v>285</v>
      </c>
      <c r="L97" s="149">
        <f t="array" ref="L97">10*LOG(AVERAGE(10^('Passby Data Set 2'!D67:'Passby Data Set 2'!D70/10)))</f>
        <v>101.09945485205508</v>
      </c>
      <c r="M97" s="150" t="s">
        <v>28</v>
      </c>
      <c r="N97" s="18"/>
      <c r="O97" s="18"/>
      <c r="P97" s="18"/>
      <c r="Q97" s="18"/>
      <c r="R97" s="18"/>
      <c r="S97" s="18"/>
      <c r="T97" s="18"/>
      <c r="U97" s="19"/>
      <c r="V97" s="46"/>
    </row>
    <row r="98" spans="1:22">
      <c r="A98" s="46"/>
      <c r="B98" s="79"/>
      <c r="C98" s="79"/>
      <c r="D98" s="82"/>
      <c r="E98" s="126"/>
      <c r="F98" s="46"/>
      <c r="G98" s="46"/>
      <c r="H98" s="46"/>
      <c r="I98" s="46"/>
      <c r="J98" s="46"/>
      <c r="K98" s="46"/>
      <c r="L98" s="46"/>
      <c r="M98" s="46"/>
      <c r="N98" s="46"/>
      <c r="O98" s="46"/>
      <c r="P98" s="46"/>
      <c r="Q98" s="46"/>
      <c r="R98" s="46"/>
      <c r="S98" s="46"/>
      <c r="T98" s="46"/>
      <c r="U98" s="46"/>
      <c r="V98" s="46"/>
    </row>
    <row r="99" spans="1:22">
      <c r="A99" s="46"/>
      <c r="B99" s="132" t="s">
        <v>286</v>
      </c>
      <c r="C99" s="140"/>
      <c r="D99" s="133"/>
      <c r="E99" s="141"/>
      <c r="F99" s="8"/>
      <c r="G99" s="8"/>
      <c r="H99" s="8"/>
      <c r="I99" s="8"/>
      <c r="J99" s="8"/>
      <c r="K99" s="8"/>
      <c r="L99" s="8"/>
      <c r="M99" s="8"/>
      <c r="N99" s="8"/>
      <c r="O99" s="8"/>
      <c r="P99" s="8"/>
      <c r="Q99" s="8"/>
      <c r="R99" s="8"/>
      <c r="S99" s="8"/>
      <c r="T99" s="8"/>
      <c r="U99" s="9"/>
      <c r="V99" s="46"/>
    </row>
    <row r="100" spans="1:22">
      <c r="A100" s="46"/>
      <c r="B100" s="116" t="s">
        <v>382</v>
      </c>
      <c r="C100" s="76"/>
      <c r="D100" s="66"/>
      <c r="E100" s="139"/>
      <c r="F100" s="11"/>
      <c r="G100" s="11"/>
      <c r="H100" s="11"/>
      <c r="I100" s="11"/>
      <c r="J100" s="11"/>
      <c r="K100" s="11"/>
      <c r="L100" s="11"/>
      <c r="M100" s="11"/>
      <c r="N100" s="11"/>
      <c r="O100" s="11"/>
      <c r="P100" s="11"/>
      <c r="Q100" s="11"/>
      <c r="R100" s="11"/>
      <c r="S100" s="11"/>
      <c r="T100" s="11"/>
      <c r="U100" s="12"/>
      <c r="V100" s="46"/>
    </row>
    <row r="101" spans="1:22" ht="15">
      <c r="A101" s="46"/>
      <c r="B101" s="155" t="s">
        <v>793</v>
      </c>
      <c r="C101" s="160"/>
      <c r="D101" s="66"/>
      <c r="E101" s="11"/>
      <c r="F101" s="11"/>
      <c r="G101" s="11"/>
      <c r="H101" s="11"/>
      <c r="I101" s="11"/>
      <c r="J101" s="11"/>
      <c r="K101" s="11"/>
      <c r="L101" s="11"/>
      <c r="M101" s="11"/>
      <c r="N101" s="11"/>
      <c r="O101" s="11"/>
      <c r="P101" s="11"/>
      <c r="Q101" s="11"/>
      <c r="R101" s="11"/>
      <c r="S101" s="11"/>
      <c r="T101" s="11"/>
      <c r="U101" s="12"/>
      <c r="V101" s="46"/>
    </row>
    <row r="102" spans="1:22">
      <c r="A102" s="46"/>
      <c r="B102" s="155" t="s">
        <v>294</v>
      </c>
      <c r="C102" s="160"/>
      <c r="D102" s="66"/>
      <c r="E102" s="11"/>
      <c r="F102" s="11"/>
      <c r="G102" s="11"/>
      <c r="H102" s="11"/>
      <c r="I102" s="11"/>
      <c r="J102" s="11"/>
      <c r="K102" s="11"/>
      <c r="L102" s="11"/>
      <c r="M102" s="11"/>
      <c r="N102" s="11"/>
      <c r="O102" s="11"/>
      <c r="P102" s="11"/>
      <c r="Q102" s="11"/>
      <c r="R102" s="11"/>
      <c r="S102" s="11"/>
      <c r="T102" s="11"/>
      <c r="U102" s="12"/>
      <c r="V102" s="46"/>
    </row>
    <row r="103" spans="1:22">
      <c r="A103" s="46"/>
      <c r="B103" s="116" t="s">
        <v>804</v>
      </c>
      <c r="C103" s="117"/>
      <c r="D103" s="76"/>
      <c r="E103" s="85"/>
      <c r="F103" s="11"/>
      <c r="G103" s="11"/>
      <c r="H103" s="11"/>
      <c r="I103" s="15">
        <v>1</v>
      </c>
      <c r="J103" s="15" t="s">
        <v>238</v>
      </c>
      <c r="K103" s="11"/>
      <c r="L103" s="11"/>
      <c r="M103" s="11"/>
      <c r="N103" s="11"/>
      <c r="O103" s="11"/>
      <c r="P103" s="11"/>
      <c r="Q103" s="11"/>
      <c r="R103" s="11"/>
      <c r="S103" s="11"/>
      <c r="T103" s="11"/>
      <c r="U103" s="12"/>
      <c r="V103" s="46"/>
    </row>
    <row r="104" spans="1:22" ht="16.5">
      <c r="A104" s="46"/>
      <c r="B104" s="116" t="s">
        <v>805</v>
      </c>
      <c r="C104" s="66"/>
      <c r="D104" s="76"/>
      <c r="E104" s="85"/>
      <c r="F104" s="11"/>
      <c r="G104" s="11"/>
      <c r="H104" s="11"/>
      <c r="I104" s="15">
        <v>85</v>
      </c>
      <c r="J104" s="15" t="s">
        <v>239</v>
      </c>
      <c r="K104" s="11" t="s">
        <v>240</v>
      </c>
      <c r="L104" s="11"/>
      <c r="M104" s="11"/>
      <c r="N104" s="118">
        <f>(SUM(F38:F59)+SUM(K38:K59)+SUM(P38:P59)+SUM(U38:U56))*$P$32</f>
        <v>21972704434.662819</v>
      </c>
      <c r="O104" s="11"/>
      <c r="P104" s="11" t="s">
        <v>296</v>
      </c>
      <c r="Q104" s="107">
        <f>R56-C38</f>
        <v>4.1999999999999931</v>
      </c>
      <c r="R104" s="11" t="s">
        <v>237</v>
      </c>
      <c r="S104" s="11"/>
      <c r="T104" s="11"/>
      <c r="U104" s="12"/>
      <c r="V104" s="46"/>
    </row>
    <row r="105" spans="1:22">
      <c r="A105" s="46"/>
      <c r="B105" s="116"/>
      <c r="C105" s="66"/>
      <c r="D105" s="76"/>
      <c r="E105" s="85"/>
      <c r="F105" s="11"/>
      <c r="G105" s="11"/>
      <c r="H105" s="11"/>
      <c r="I105" s="15"/>
      <c r="J105" s="15"/>
      <c r="K105" s="11"/>
      <c r="L105" s="11"/>
      <c r="M105" s="11"/>
      <c r="N105" s="118"/>
      <c r="O105" s="11"/>
      <c r="P105" s="11"/>
      <c r="Q105" s="11"/>
      <c r="R105" s="11"/>
      <c r="S105" s="11"/>
      <c r="T105" s="11"/>
      <c r="U105" s="12"/>
      <c r="V105" s="46"/>
    </row>
    <row r="106" spans="1:22">
      <c r="A106" s="46"/>
      <c r="B106" s="116"/>
      <c r="C106" s="66"/>
      <c r="D106" s="76"/>
      <c r="E106" s="85"/>
      <c r="F106" s="11"/>
      <c r="G106" s="11"/>
      <c r="H106" s="11"/>
      <c r="I106" s="11"/>
      <c r="J106" s="11"/>
      <c r="K106" s="11"/>
      <c r="L106" s="11"/>
      <c r="M106" s="11"/>
      <c r="N106" s="11"/>
      <c r="O106" s="11"/>
      <c r="P106" s="46"/>
      <c r="Q106" s="11"/>
      <c r="R106" s="11"/>
      <c r="S106" s="11"/>
      <c r="T106" s="11"/>
      <c r="U106" s="12"/>
      <c r="V106" s="46"/>
    </row>
    <row r="107" spans="1:22" ht="16.5">
      <c r="A107" s="46"/>
      <c r="B107" s="116" t="s">
        <v>794</v>
      </c>
      <c r="C107" s="66"/>
      <c r="D107" s="76"/>
      <c r="E107" s="85"/>
      <c r="F107" s="158" t="s">
        <v>795</v>
      </c>
      <c r="G107" s="147">
        <f>10*LOG10((1/Q104)*N104)</f>
        <v>97.186342234532802</v>
      </c>
      <c r="H107" s="113" t="s">
        <v>28</v>
      </c>
      <c r="I107" s="11"/>
      <c r="J107" s="11"/>
      <c r="K107" s="11"/>
      <c r="L107" s="11"/>
      <c r="M107" s="11"/>
      <c r="N107" s="11"/>
      <c r="O107" s="11"/>
      <c r="P107" s="46"/>
      <c r="Q107" s="11"/>
      <c r="R107" s="11"/>
      <c r="S107" s="11"/>
      <c r="T107" s="11"/>
      <c r="U107" s="12"/>
      <c r="V107" s="46"/>
    </row>
    <row r="108" spans="1:22">
      <c r="A108" s="46"/>
      <c r="B108" s="116"/>
      <c r="C108" s="66"/>
      <c r="D108" s="66"/>
      <c r="E108" s="85"/>
      <c r="F108" s="11"/>
      <c r="G108" s="11"/>
      <c r="H108" s="11"/>
      <c r="I108" s="11"/>
      <c r="J108" s="11"/>
      <c r="K108" s="11"/>
      <c r="L108" s="11"/>
      <c r="M108" s="11"/>
      <c r="N108" s="11"/>
      <c r="O108" s="11"/>
      <c r="P108" s="46"/>
      <c r="Q108" s="11"/>
      <c r="R108" s="11"/>
      <c r="S108" s="11"/>
      <c r="T108" s="11"/>
      <c r="U108" s="12"/>
      <c r="V108" s="46"/>
    </row>
    <row r="109" spans="1:22">
      <c r="A109" s="46"/>
      <c r="B109" s="116"/>
      <c r="C109" s="76"/>
      <c r="D109" s="159"/>
      <c r="E109" s="85"/>
      <c r="F109" s="11"/>
      <c r="G109" s="11"/>
      <c r="H109" s="11"/>
      <c r="I109" s="11"/>
      <c r="J109" s="11"/>
      <c r="K109" s="11"/>
      <c r="L109" s="11"/>
      <c r="M109" s="11"/>
      <c r="N109" s="11"/>
      <c r="O109" s="11"/>
      <c r="Q109" s="11"/>
      <c r="R109" s="11"/>
      <c r="S109" s="11"/>
      <c r="T109" s="11"/>
      <c r="U109" s="12"/>
      <c r="V109" s="46"/>
    </row>
    <row r="110" spans="1:22" ht="16.5">
      <c r="A110" s="46"/>
      <c r="B110" s="116" t="s">
        <v>301</v>
      </c>
      <c r="C110" s="160"/>
      <c r="D110" s="66"/>
      <c r="E110" s="109" t="s">
        <v>302</v>
      </c>
      <c r="F110" s="11"/>
      <c r="G110" s="11"/>
      <c r="H110" s="11"/>
      <c r="I110" s="11"/>
      <c r="J110" s="11"/>
      <c r="K110" s="11"/>
      <c r="L110" s="11"/>
      <c r="M110" s="11"/>
      <c r="N110" s="11"/>
      <c r="O110" s="11"/>
      <c r="P110" s="11"/>
      <c r="Q110" s="11"/>
      <c r="R110" s="11"/>
      <c r="S110" s="11"/>
      <c r="T110" s="11"/>
      <c r="U110" s="12"/>
      <c r="V110" s="46"/>
    </row>
    <row r="111" spans="1:22" ht="16.5">
      <c r="A111" s="46"/>
      <c r="B111" s="116"/>
      <c r="C111" s="160"/>
      <c r="D111" s="66"/>
      <c r="E111" s="109" t="s">
        <v>384</v>
      </c>
      <c r="F111" s="11"/>
      <c r="G111" s="11"/>
      <c r="H111" s="11"/>
      <c r="I111" s="11" t="s">
        <v>304</v>
      </c>
      <c r="J111" s="11"/>
      <c r="K111" s="11"/>
      <c r="L111" s="112" t="s">
        <v>305</v>
      </c>
      <c r="M111" s="112">
        <f>G65+10*LOG10(D17/D15)</f>
        <v>99.939228105749834</v>
      </c>
      <c r="N111" s="113" t="s">
        <v>28</v>
      </c>
      <c r="O111" s="11"/>
      <c r="P111" s="11"/>
      <c r="Q111" s="11"/>
      <c r="R111" s="11"/>
      <c r="S111" s="11"/>
      <c r="T111" s="11"/>
      <c r="U111" s="12"/>
      <c r="V111" s="46"/>
    </row>
    <row r="112" spans="1:22" ht="16.5">
      <c r="A112" s="46"/>
      <c r="B112" s="116" t="s">
        <v>306</v>
      </c>
      <c r="C112" s="160"/>
      <c r="D112" s="66"/>
      <c r="E112" s="109" t="s">
        <v>307</v>
      </c>
      <c r="F112" s="11"/>
      <c r="G112" s="11"/>
      <c r="H112" s="11"/>
      <c r="I112" s="11"/>
      <c r="J112" s="11"/>
      <c r="K112" s="11"/>
      <c r="L112" s="11"/>
      <c r="M112" s="11"/>
      <c r="N112" s="11"/>
      <c r="O112" s="11"/>
      <c r="P112" s="11"/>
      <c r="Q112" s="11"/>
      <c r="R112" s="11"/>
      <c r="S112" s="11"/>
      <c r="T112" s="11"/>
      <c r="U112" s="12"/>
      <c r="V112" s="46"/>
    </row>
    <row r="113" spans="1:22" ht="16.5">
      <c r="A113" s="46"/>
      <c r="B113" s="116"/>
      <c r="C113" s="160"/>
      <c r="D113" s="66"/>
      <c r="E113" s="162" t="s">
        <v>308</v>
      </c>
      <c r="F113" s="147">
        <f>G65+10*LOG10(D15)+1</f>
        <v>104.1967111779033</v>
      </c>
      <c r="G113" s="112" t="s">
        <v>28</v>
      </c>
      <c r="H113" s="112"/>
      <c r="I113" s="112" t="s">
        <v>343</v>
      </c>
      <c r="J113" s="147">
        <f>F113-10*LOG10(7.5/30)</f>
        <v>110.21731109118292</v>
      </c>
      <c r="K113" s="112" t="s">
        <v>28</v>
      </c>
      <c r="L113" s="112" t="s">
        <v>398</v>
      </c>
      <c r="M113" s="147">
        <f>F113-10*LOG10(25/30)</f>
        <v>104.98852363837955</v>
      </c>
      <c r="N113" s="211" t="s">
        <v>28</v>
      </c>
      <c r="O113" s="11" t="s">
        <v>309</v>
      </c>
      <c r="P113" s="11"/>
      <c r="Q113" s="11"/>
      <c r="R113" s="11" t="s">
        <v>310</v>
      </c>
      <c r="S113" s="11"/>
      <c r="T113" s="11"/>
      <c r="U113" s="12"/>
      <c r="V113" s="46"/>
    </row>
    <row r="114" spans="1:22">
      <c r="A114" s="46"/>
      <c r="B114" s="116"/>
      <c r="C114" s="160"/>
      <c r="D114" s="66"/>
      <c r="E114" s="109" t="s">
        <v>311</v>
      </c>
      <c r="F114" s="11"/>
      <c r="G114" s="11"/>
      <c r="H114" s="11"/>
      <c r="I114" s="11"/>
      <c r="J114" s="11"/>
      <c r="K114" s="11"/>
      <c r="L114" s="11"/>
      <c r="M114" s="11"/>
      <c r="N114" s="11"/>
      <c r="O114" s="11"/>
      <c r="P114" s="11"/>
      <c r="Q114" s="11"/>
      <c r="R114" s="11"/>
      <c r="S114" s="11"/>
      <c r="T114" s="11"/>
      <c r="U114" s="12"/>
      <c r="V114" s="46"/>
    </row>
    <row r="115" spans="1:22">
      <c r="A115" s="46"/>
      <c r="B115" s="116"/>
      <c r="C115" s="160"/>
      <c r="D115" s="66"/>
      <c r="E115" s="109" t="s">
        <v>312</v>
      </c>
      <c r="F115" s="11"/>
      <c r="G115" s="11"/>
      <c r="H115" s="11"/>
      <c r="I115" s="11"/>
      <c r="J115" s="11"/>
      <c r="K115" s="11"/>
      <c r="L115" s="11"/>
      <c r="M115" s="11"/>
      <c r="N115" s="11"/>
      <c r="O115" s="11"/>
      <c r="P115" s="11"/>
      <c r="Q115" s="11"/>
      <c r="R115" s="11"/>
      <c r="S115" s="11"/>
      <c r="T115" s="11"/>
      <c r="U115" s="12"/>
      <c r="V115" s="46"/>
    </row>
    <row r="116" spans="1:22">
      <c r="A116" s="46"/>
      <c r="B116" s="145" t="s">
        <v>313</v>
      </c>
      <c r="C116" s="160"/>
      <c r="D116" s="66"/>
      <c r="E116" s="109"/>
      <c r="F116" s="11"/>
      <c r="G116" s="11"/>
      <c r="H116" s="11"/>
      <c r="I116" s="11"/>
      <c r="J116" s="11"/>
      <c r="K116" s="11"/>
      <c r="L116" s="11"/>
      <c r="M116" s="11"/>
      <c r="N116" s="11"/>
      <c r="O116" s="11"/>
      <c r="P116" s="11"/>
      <c r="Q116" s="11"/>
      <c r="R116" s="11"/>
      <c r="S116" s="11"/>
      <c r="T116" s="11"/>
      <c r="U116" s="12"/>
      <c r="V116" s="46"/>
    </row>
    <row r="117" spans="1:22">
      <c r="A117" s="46"/>
      <c r="B117" s="116" t="s">
        <v>321</v>
      </c>
      <c r="C117" s="160"/>
      <c r="D117" s="66"/>
      <c r="E117" s="109"/>
      <c r="F117" s="11"/>
      <c r="G117" s="11"/>
      <c r="H117" s="11"/>
      <c r="I117" s="11"/>
      <c r="J117" s="11"/>
      <c r="K117" s="11"/>
      <c r="L117" s="11"/>
      <c r="M117" s="11"/>
      <c r="N117" s="11"/>
      <c r="O117" s="11"/>
      <c r="P117" s="11"/>
      <c r="Q117" s="11"/>
      <c r="R117" s="11"/>
      <c r="S117" s="11"/>
      <c r="T117" s="11"/>
      <c r="U117" s="12"/>
      <c r="V117" s="46"/>
    </row>
    <row r="118" spans="1:22">
      <c r="A118" s="46"/>
      <c r="B118" s="116"/>
      <c r="C118" s="40" t="s">
        <v>325</v>
      </c>
      <c r="D118" s="66"/>
      <c r="E118" s="109"/>
      <c r="F118" s="11"/>
      <c r="G118" s="11"/>
      <c r="H118" s="11"/>
      <c r="I118" s="11"/>
      <c r="J118" s="11"/>
      <c r="K118" s="11"/>
      <c r="L118" s="11"/>
      <c r="M118" s="11"/>
      <c r="N118" s="11"/>
      <c r="O118" s="11"/>
      <c r="P118" s="11"/>
      <c r="Q118" s="11"/>
      <c r="R118" s="11"/>
      <c r="S118" s="11"/>
      <c r="T118" s="11"/>
      <c r="U118" s="12"/>
      <c r="V118" s="46"/>
    </row>
    <row r="119" spans="1:22" ht="16.5">
      <c r="A119" s="46"/>
      <c r="B119" s="116" t="s">
        <v>314</v>
      </c>
      <c r="C119" s="160"/>
      <c r="D119" s="66"/>
      <c r="E119" s="109"/>
      <c r="F119" s="11"/>
      <c r="G119" s="11"/>
      <c r="H119" s="11"/>
      <c r="I119" s="11"/>
      <c r="J119" s="11"/>
      <c r="K119" s="11"/>
      <c r="L119" s="11"/>
      <c r="M119" s="11"/>
      <c r="N119" s="11"/>
      <c r="O119" s="11"/>
      <c r="P119" s="112" t="s">
        <v>315</v>
      </c>
      <c r="Q119" s="147">
        <f>PERCENTILE('Passby Data Set 2'!D24:D108,0.1)</f>
        <v>76.36</v>
      </c>
      <c r="R119" s="112" t="s">
        <v>28</v>
      </c>
      <c r="S119" s="11"/>
      <c r="T119" s="11"/>
      <c r="U119" s="12"/>
      <c r="V119" s="46"/>
    </row>
    <row r="120" spans="1:22" ht="16.5">
      <c r="A120" s="46"/>
      <c r="B120" s="116" t="s">
        <v>316</v>
      </c>
      <c r="C120" s="160"/>
      <c r="D120" s="66"/>
      <c r="E120" s="109"/>
      <c r="F120" s="11"/>
      <c r="G120" s="11"/>
      <c r="H120" s="11"/>
      <c r="I120" s="11"/>
      <c r="J120" s="11"/>
      <c r="K120" s="11"/>
      <c r="L120" s="11"/>
      <c r="M120" s="11"/>
      <c r="N120" s="11"/>
      <c r="O120" s="11"/>
      <c r="P120" s="112" t="s">
        <v>317</v>
      </c>
      <c r="Q120" s="147">
        <f>PERCENTILE('Passby Data Set 2'!D24:D108,0.5)</f>
        <v>97.3</v>
      </c>
      <c r="R120" s="112" t="s">
        <v>28</v>
      </c>
      <c r="S120" s="11"/>
      <c r="T120" s="11"/>
      <c r="U120" s="12"/>
      <c r="V120" s="46"/>
    </row>
    <row r="121" spans="1:22" ht="16.5">
      <c r="A121" s="46"/>
      <c r="B121" s="119" t="s">
        <v>318</v>
      </c>
      <c r="C121" s="170"/>
      <c r="D121" s="137"/>
      <c r="E121" s="171"/>
      <c r="F121" s="18"/>
      <c r="G121" s="18"/>
      <c r="H121" s="18"/>
      <c r="I121" s="18"/>
      <c r="J121" s="18"/>
      <c r="K121" s="18"/>
      <c r="L121" s="18"/>
      <c r="M121" s="18"/>
      <c r="N121" s="18"/>
      <c r="O121" s="18"/>
      <c r="P121" s="148" t="s">
        <v>319</v>
      </c>
      <c r="Q121" s="149">
        <f>PERCENTILE('Passby Data Set 2'!D24:D108,0.9)</f>
        <v>100.46000000000001</v>
      </c>
      <c r="R121" s="148" t="s">
        <v>28</v>
      </c>
      <c r="S121" s="18"/>
      <c r="T121" s="18"/>
      <c r="U121" s="19"/>
      <c r="V121" s="46"/>
    </row>
    <row r="122" spans="1:22">
      <c r="A122" s="46"/>
      <c r="B122" s="76"/>
      <c r="C122" s="160"/>
      <c r="D122" s="66"/>
      <c r="E122" s="109"/>
      <c r="F122" s="11"/>
      <c r="G122" s="11"/>
      <c r="H122" s="11"/>
      <c r="I122" s="11"/>
      <c r="J122" s="11"/>
      <c r="K122" s="11"/>
      <c r="L122" s="11"/>
      <c r="M122" s="11"/>
      <c r="N122" s="11"/>
      <c r="O122" s="46"/>
      <c r="P122" s="168"/>
      <c r="Q122" s="169"/>
      <c r="R122" s="168"/>
      <c r="S122" s="46"/>
      <c r="T122" s="46"/>
      <c r="U122" s="46"/>
      <c r="V122" s="46"/>
    </row>
    <row r="123" spans="1:22">
      <c r="A123" s="46"/>
      <c r="B123" s="132" t="s">
        <v>799</v>
      </c>
      <c r="C123" s="181"/>
      <c r="D123" s="133"/>
      <c r="E123" s="182"/>
      <c r="F123" s="8"/>
      <c r="G123" s="8"/>
      <c r="H123" s="8"/>
      <c r="I123" s="8"/>
      <c r="J123" s="8"/>
      <c r="K123" s="8"/>
      <c r="L123" s="8"/>
      <c r="M123" s="8"/>
      <c r="N123" s="8"/>
      <c r="O123" s="8"/>
      <c r="P123" s="47"/>
      <c r="Q123" s="183"/>
      <c r="R123" s="47"/>
      <c r="S123" s="8"/>
      <c r="T123" s="8"/>
      <c r="U123" s="9"/>
      <c r="V123" s="46"/>
    </row>
    <row r="124" spans="1:22" ht="16.5">
      <c r="A124" s="46"/>
      <c r="B124" s="116" t="s">
        <v>346</v>
      </c>
      <c r="C124" s="160"/>
      <c r="D124" s="66"/>
      <c r="E124" s="109"/>
      <c r="F124" s="11"/>
      <c r="G124" s="11"/>
      <c r="H124" s="11"/>
      <c r="I124" s="15">
        <f>D13</f>
        <v>296</v>
      </c>
      <c r="J124" s="11" t="s">
        <v>19</v>
      </c>
      <c r="K124" s="11" t="s">
        <v>357</v>
      </c>
      <c r="L124" s="11"/>
      <c r="M124" s="11"/>
      <c r="N124" s="11"/>
      <c r="O124" s="11"/>
      <c r="P124" s="112"/>
      <c r="Q124" s="147"/>
      <c r="R124" s="112"/>
      <c r="S124" s="11"/>
      <c r="T124" s="11"/>
      <c r="U124" s="12"/>
      <c r="V124" s="46"/>
    </row>
    <row r="125" spans="1:22">
      <c r="A125" s="46"/>
      <c r="B125" s="116"/>
      <c r="C125" s="177"/>
      <c r="D125" s="66"/>
      <c r="E125" s="109"/>
      <c r="F125" s="11"/>
      <c r="G125" s="11"/>
      <c r="H125" s="11"/>
      <c r="I125" s="11"/>
      <c r="J125" s="11"/>
      <c r="K125" s="11"/>
      <c r="L125" s="11"/>
      <c r="M125" s="11"/>
      <c r="N125" s="11"/>
      <c r="O125" s="11"/>
      <c r="P125" s="112"/>
      <c r="Q125" s="147"/>
      <c r="R125" s="112"/>
      <c r="S125" s="11"/>
      <c r="T125" s="11"/>
      <c r="U125" s="12"/>
      <c r="V125" s="46"/>
    </row>
    <row r="126" spans="1:22" ht="28" customHeight="1">
      <c r="A126" s="46"/>
      <c r="B126" s="116"/>
      <c r="C126" s="160"/>
      <c r="D126" s="379" t="s">
        <v>40</v>
      </c>
      <c r="E126" s="541" t="s">
        <v>349</v>
      </c>
      <c r="F126" s="501"/>
      <c r="G126" s="454"/>
      <c r="H126" s="455"/>
      <c r="I126" s="455"/>
      <c r="J126" s="455"/>
      <c r="K126" s="455"/>
      <c r="L126" s="455"/>
      <c r="M126" s="455"/>
      <c r="N126" s="457"/>
      <c r="O126" s="11"/>
      <c r="P126" s="543" t="s">
        <v>404</v>
      </c>
      <c r="Q126" s="513"/>
      <c r="R126" s="513"/>
      <c r="S126" s="514"/>
      <c r="T126" s="11"/>
      <c r="U126" s="12"/>
      <c r="V126" s="46"/>
    </row>
    <row r="127" spans="1:22" ht="16.5">
      <c r="A127" s="46"/>
      <c r="B127" s="116"/>
      <c r="C127" s="160"/>
      <c r="D127" s="408"/>
      <c r="E127" s="394" t="s">
        <v>350</v>
      </c>
      <c r="F127" s="351" t="s">
        <v>713</v>
      </c>
      <c r="G127" s="5" t="s">
        <v>351</v>
      </c>
      <c r="H127" s="461" t="s">
        <v>352</v>
      </c>
      <c r="I127" s="461" t="s">
        <v>783</v>
      </c>
      <c r="J127" s="461" t="s">
        <v>347</v>
      </c>
      <c r="K127" s="461" t="s">
        <v>348</v>
      </c>
      <c r="L127" s="461" t="s">
        <v>354</v>
      </c>
      <c r="M127" s="461" t="s">
        <v>355</v>
      </c>
      <c r="N127" s="5" t="s">
        <v>356</v>
      </c>
      <c r="O127" s="11"/>
      <c r="P127" s="596" t="s">
        <v>399</v>
      </c>
      <c r="Q127" s="404" t="s">
        <v>400</v>
      </c>
      <c r="R127" s="404" t="s">
        <v>401</v>
      </c>
      <c r="S127" s="398" t="s">
        <v>402</v>
      </c>
      <c r="T127" s="11"/>
      <c r="U127" s="12"/>
      <c r="V127" s="46"/>
    </row>
    <row r="128" spans="1:22">
      <c r="A128" s="46"/>
      <c r="B128" s="116"/>
      <c r="C128" s="160"/>
      <c r="D128" s="231">
        <v>1</v>
      </c>
      <c r="E128" s="179">
        <f>G65</f>
        <v>99.332179485115475</v>
      </c>
      <c r="F128" s="180">
        <f>D89</f>
        <v>102</v>
      </c>
      <c r="G128" s="180">
        <f>L95</f>
        <v>99.663228156470112</v>
      </c>
      <c r="H128" s="180">
        <f>L97</f>
        <v>101.09945485205508</v>
      </c>
      <c r="I128" s="180">
        <f>G107</f>
        <v>97.186342234532802</v>
      </c>
      <c r="J128" s="180">
        <f>M111</f>
        <v>99.939228105749834</v>
      </c>
      <c r="K128" s="180">
        <f>J113</f>
        <v>110.21731109118292</v>
      </c>
      <c r="L128" s="180">
        <f>Q119</f>
        <v>76.36</v>
      </c>
      <c r="M128" s="180">
        <f>Q120</f>
        <v>97.3</v>
      </c>
      <c r="N128" s="180">
        <f>Q121</f>
        <v>100.46000000000001</v>
      </c>
      <c r="O128" s="11"/>
      <c r="P128" s="595"/>
      <c r="Q128" s="512"/>
      <c r="R128" s="512"/>
      <c r="S128" s="471"/>
      <c r="T128" s="11"/>
      <c r="U128" s="12"/>
      <c r="V128" s="46"/>
    </row>
    <row r="129" spans="1:22">
      <c r="A129" s="46"/>
      <c r="B129" s="116"/>
      <c r="C129" s="160"/>
      <c r="D129" s="175">
        <v>2</v>
      </c>
      <c r="E129" s="179">
        <f>E128*$R$129</f>
        <v>102.10324886989338</v>
      </c>
      <c r="F129" s="179">
        <f t="shared" ref="F129:N129" si="8">F128*$R$129</f>
        <v>104.84549356223177</v>
      </c>
      <c r="G129" s="179">
        <f t="shared" si="8"/>
        <v>102.44353280461198</v>
      </c>
      <c r="H129" s="179">
        <f t="shared" si="8"/>
        <v>103.91982591015962</v>
      </c>
      <c r="I129" s="179">
        <f t="shared" si="8"/>
        <v>99.897549206740806</v>
      </c>
      <c r="J129" s="179">
        <f t="shared" si="8"/>
        <v>102.72723232329221</v>
      </c>
      <c r="K129" s="179">
        <f t="shared" si="8"/>
        <v>113.29204294565798</v>
      </c>
      <c r="L129" s="179">
        <f t="shared" si="8"/>
        <v>78.490214592274683</v>
      </c>
      <c r="M129" s="179">
        <f t="shared" si="8"/>
        <v>100.01437768240343</v>
      </c>
      <c r="N129" s="179">
        <f t="shared" si="8"/>
        <v>103.26253218884121</v>
      </c>
      <c r="O129" s="11"/>
      <c r="P129" s="593">
        <v>271</v>
      </c>
      <c r="Q129" s="594">
        <f t="shared" ref="Q129:S131" si="9">R82/$R$82</f>
        <v>1</v>
      </c>
      <c r="R129" s="594">
        <f t="shared" si="9"/>
        <v>1.0278969957081545</v>
      </c>
      <c r="S129" s="594">
        <f t="shared" si="9"/>
        <v>0.87982832618025753</v>
      </c>
      <c r="T129" s="11"/>
      <c r="U129" s="12"/>
      <c r="V129" s="46"/>
    </row>
    <row r="130" spans="1:22">
      <c r="A130" s="46"/>
      <c r="B130" s="116"/>
      <c r="C130" s="160"/>
      <c r="D130" s="175">
        <v>3</v>
      </c>
      <c r="E130" s="179">
        <f>E128*$S$129</f>
        <v>87.395265212226064</v>
      </c>
      <c r="F130" s="179">
        <f t="shared" ref="F130:N130" si="10">F128*$S$129</f>
        <v>89.742489270386272</v>
      </c>
      <c r="G130" s="179">
        <f t="shared" si="10"/>
        <v>87.686531210628218</v>
      </c>
      <c r="H130" s="179">
        <f t="shared" si="10"/>
        <v>88.950164140220139</v>
      </c>
      <c r="I130" s="179">
        <f t="shared" si="10"/>
        <v>85.507296815790667</v>
      </c>
      <c r="J130" s="179">
        <f t="shared" si="10"/>
        <v>87.929363784028823</v>
      </c>
      <c r="K130" s="179">
        <f t="shared" si="10"/>
        <v>96.972312333444208</v>
      </c>
      <c r="L130" s="179">
        <f t="shared" si="10"/>
        <v>67.183690987124464</v>
      </c>
      <c r="M130" s="179">
        <f t="shared" si="10"/>
        <v>85.607296137339048</v>
      </c>
      <c r="N130" s="179">
        <f t="shared" si="10"/>
        <v>88.387553648068675</v>
      </c>
      <c r="O130" s="11"/>
      <c r="P130" s="217">
        <v>341</v>
      </c>
      <c r="Q130" s="219">
        <f t="shared" si="9"/>
        <v>1.0354077253218883</v>
      </c>
      <c r="R130" s="219">
        <f t="shared" si="9"/>
        <v>1.0515021459227467</v>
      </c>
      <c r="S130" s="219">
        <f t="shared" si="9"/>
        <v>0.91738197424892698</v>
      </c>
      <c r="T130" s="11"/>
      <c r="U130" s="12"/>
      <c r="V130" s="46"/>
    </row>
    <row r="131" spans="1:22">
      <c r="A131" s="46"/>
      <c r="B131" s="116"/>
      <c r="C131" s="160"/>
      <c r="D131" s="175">
        <v>4</v>
      </c>
      <c r="E131" s="179">
        <f>E130-10*LOG10(30/25)</f>
        <v>86.603452751749813</v>
      </c>
      <c r="F131" s="179">
        <f t="shared" ref="F131:N131" si="11">F130-10*LOG10(30/25)</f>
        <v>88.950676809910021</v>
      </c>
      <c r="G131" s="179">
        <f t="shared" si="11"/>
        <v>86.894718750151966</v>
      </c>
      <c r="H131" s="179">
        <f t="shared" si="11"/>
        <v>88.158351679743888</v>
      </c>
      <c r="I131" s="179">
        <f t="shared" si="11"/>
        <v>84.715484355314416</v>
      </c>
      <c r="J131" s="179">
        <f t="shared" si="11"/>
        <v>87.137551323552572</v>
      </c>
      <c r="K131" s="179">
        <f t="shared" si="11"/>
        <v>96.180499872967957</v>
      </c>
      <c r="L131" s="179">
        <f t="shared" si="11"/>
        <v>66.391878526648213</v>
      </c>
      <c r="M131" s="179">
        <f t="shared" si="11"/>
        <v>84.815483676862797</v>
      </c>
      <c r="N131" s="179">
        <f t="shared" si="11"/>
        <v>87.595741187592424</v>
      </c>
      <c r="O131" s="11"/>
      <c r="P131" s="217">
        <v>386</v>
      </c>
      <c r="Q131" s="219">
        <f t="shared" si="9"/>
        <v>1.0568669527896994</v>
      </c>
      <c r="R131" s="219">
        <f t="shared" si="9"/>
        <v>1.0740343347639485</v>
      </c>
      <c r="S131" s="219">
        <f t="shared" si="9"/>
        <v>0.94527896995708149</v>
      </c>
      <c r="T131" s="11"/>
      <c r="U131" s="12"/>
      <c r="V131" s="46"/>
    </row>
    <row r="132" spans="1:22">
      <c r="A132" s="46"/>
      <c r="B132" s="119"/>
      <c r="C132" s="170"/>
      <c r="D132" s="137"/>
      <c r="E132" s="171"/>
      <c r="F132" s="18"/>
      <c r="G132" s="18"/>
      <c r="H132" s="18"/>
      <c r="I132" s="18"/>
      <c r="J132" s="18"/>
      <c r="K132" s="18"/>
      <c r="L132" s="18"/>
      <c r="M132" s="18"/>
      <c r="N132" s="18"/>
      <c r="O132" s="18"/>
      <c r="P132" s="148"/>
      <c r="Q132" s="149"/>
      <c r="R132" s="148"/>
      <c r="S132" s="18"/>
      <c r="T132" s="18"/>
      <c r="U132" s="19"/>
      <c r="V132" s="46"/>
    </row>
    <row r="133" spans="1:22">
      <c r="A133" s="46"/>
      <c r="B133" s="76"/>
      <c r="C133" s="160"/>
      <c r="D133" s="66"/>
      <c r="E133" s="109"/>
      <c r="F133" s="11"/>
      <c r="G133" s="11"/>
      <c r="H133" s="11"/>
      <c r="I133" s="11"/>
      <c r="J133" s="11"/>
      <c r="K133" s="11"/>
      <c r="L133" s="11"/>
      <c r="M133" s="11"/>
      <c r="N133" s="11"/>
      <c r="O133" s="46"/>
      <c r="P133" s="168"/>
      <c r="Q133" s="169"/>
      <c r="R133" s="168"/>
      <c r="S133" s="46"/>
      <c r="T133" s="46"/>
      <c r="U133" s="46"/>
      <c r="V133" s="46"/>
    </row>
    <row r="134" spans="1:22">
      <c r="A134" s="46"/>
      <c r="B134" s="132" t="s">
        <v>320</v>
      </c>
      <c r="C134" s="181"/>
      <c r="D134" s="133"/>
      <c r="E134" s="182"/>
      <c r="F134" s="8"/>
      <c r="G134" s="8"/>
      <c r="H134" s="8"/>
      <c r="I134" s="8"/>
      <c r="J134" s="8"/>
      <c r="K134" s="8"/>
      <c r="L134" s="8"/>
      <c r="M134" s="8"/>
      <c r="N134" s="8"/>
      <c r="O134" s="8"/>
      <c r="P134" s="8"/>
      <c r="Q134" s="8"/>
      <c r="R134" s="8"/>
      <c r="S134" s="8"/>
      <c r="T134" s="8"/>
      <c r="U134" s="9"/>
      <c r="V134" s="46"/>
    </row>
    <row r="135" spans="1:22" ht="16.5">
      <c r="A135" s="46"/>
      <c r="B135" s="116" t="s">
        <v>324</v>
      </c>
      <c r="C135" s="160"/>
      <c r="D135" s="66"/>
      <c r="E135" s="109"/>
      <c r="F135" s="11"/>
      <c r="G135" s="11"/>
      <c r="H135" s="11"/>
      <c r="I135" s="11"/>
      <c r="J135" s="11"/>
      <c r="K135" s="11"/>
      <c r="L135" s="11"/>
      <c r="M135" s="11"/>
      <c r="N135" s="11"/>
      <c r="O135" s="11"/>
      <c r="P135" s="11"/>
      <c r="Q135" s="11"/>
      <c r="R135" s="11"/>
      <c r="S135" s="11"/>
      <c r="T135" s="11"/>
      <c r="U135" s="12"/>
      <c r="V135" s="46"/>
    </row>
    <row r="136" spans="1:22" ht="16.5">
      <c r="A136" s="46"/>
      <c r="B136" s="145"/>
      <c r="C136" s="11" t="s">
        <v>326</v>
      </c>
      <c r="D136" s="66"/>
      <c r="E136" s="109"/>
      <c r="F136" s="11"/>
      <c r="G136" s="11"/>
      <c r="H136" s="11" t="s">
        <v>329</v>
      </c>
      <c r="I136" s="11" t="s">
        <v>330</v>
      </c>
      <c r="J136" s="11" t="s">
        <v>331</v>
      </c>
      <c r="K136" s="11"/>
      <c r="L136" s="11"/>
      <c r="M136" s="11" t="s">
        <v>334</v>
      </c>
      <c r="N136" s="11"/>
      <c r="O136" s="11"/>
      <c r="P136" s="11"/>
      <c r="Q136" s="11"/>
      <c r="R136" s="11"/>
      <c r="S136" s="11"/>
      <c r="T136" s="11"/>
      <c r="U136" s="12"/>
      <c r="V136" s="46"/>
    </row>
    <row r="137" spans="1:22" ht="16.5">
      <c r="A137" s="46"/>
      <c r="B137" s="187" t="s">
        <v>327</v>
      </c>
      <c r="C137" s="11" t="s">
        <v>328</v>
      </c>
      <c r="D137" s="66"/>
      <c r="E137" s="109"/>
      <c r="F137" s="11"/>
      <c r="G137" s="11"/>
      <c r="H137" s="11"/>
      <c r="I137" s="11" t="s">
        <v>332</v>
      </c>
      <c r="J137" s="11" t="s">
        <v>333</v>
      </c>
      <c r="K137" s="11"/>
      <c r="L137" s="11"/>
      <c r="M137" s="11"/>
      <c r="N137" s="11"/>
      <c r="O137" s="11"/>
      <c r="P137" s="11"/>
      <c r="Q137" s="11"/>
      <c r="R137" s="11"/>
      <c r="S137" s="11"/>
      <c r="T137" s="11"/>
      <c r="U137" s="12"/>
      <c r="V137" s="46"/>
    </row>
    <row r="138" spans="1:22">
      <c r="A138" s="46"/>
      <c r="B138" s="116" t="s">
        <v>335</v>
      </c>
      <c r="C138" s="160"/>
      <c r="D138" s="66"/>
      <c r="E138" s="109"/>
      <c r="F138" s="11"/>
      <c r="G138" s="11"/>
      <c r="H138" s="11"/>
      <c r="I138" s="11"/>
      <c r="J138" s="11"/>
      <c r="K138" s="11"/>
      <c r="L138" s="11"/>
      <c r="M138" s="11"/>
      <c r="N138" s="11"/>
      <c r="O138" s="11"/>
      <c r="P138" s="11" t="s">
        <v>797</v>
      </c>
      <c r="Q138" s="11"/>
      <c r="R138" s="11"/>
      <c r="S138" s="11"/>
      <c r="T138" s="11"/>
      <c r="U138" s="12"/>
      <c r="V138" s="46"/>
    </row>
    <row r="139" spans="1:22">
      <c r="A139" s="46"/>
      <c r="B139" s="116" t="s">
        <v>337</v>
      </c>
      <c r="C139" s="160"/>
      <c r="D139" s="66"/>
      <c r="E139" s="109"/>
      <c r="F139" s="11"/>
      <c r="G139" s="11"/>
      <c r="H139" s="11"/>
      <c r="I139" s="11"/>
      <c r="J139" s="11"/>
      <c r="K139" s="11"/>
      <c r="L139" s="11"/>
      <c r="M139" s="11"/>
      <c r="N139" s="11"/>
      <c r="O139" s="11"/>
      <c r="P139" s="11"/>
      <c r="Q139" s="11"/>
      <c r="R139" s="11"/>
      <c r="S139" s="11"/>
      <c r="T139" s="11"/>
      <c r="U139" s="12"/>
      <c r="V139" s="46"/>
    </row>
    <row r="140" spans="1:22">
      <c r="A140" s="46"/>
      <c r="B140" s="116"/>
      <c r="C140" s="172" t="s">
        <v>339</v>
      </c>
      <c r="D140" s="66"/>
      <c r="E140" s="109"/>
      <c r="F140" s="15" t="s">
        <v>340</v>
      </c>
      <c r="G140" s="173">
        <v>6.25E-2</v>
      </c>
      <c r="H140" s="15" t="s">
        <v>341</v>
      </c>
      <c r="I140" s="107">
        <v>25</v>
      </c>
      <c r="J140" s="11"/>
      <c r="K140" s="11"/>
      <c r="L140" s="11"/>
      <c r="M140" s="11"/>
      <c r="N140" s="11"/>
      <c r="O140" s="11"/>
      <c r="P140" s="11"/>
      <c r="Q140" s="11"/>
      <c r="R140" s="11"/>
      <c r="S140" s="11"/>
      <c r="T140" s="11"/>
      <c r="U140" s="12"/>
      <c r="V140" s="46"/>
    </row>
    <row r="141" spans="1:22" ht="16.5">
      <c r="A141" s="46"/>
      <c r="B141" s="116" t="s">
        <v>344</v>
      </c>
      <c r="C141" s="160"/>
      <c r="D141" s="66">
        <f>D13</f>
        <v>296</v>
      </c>
      <c r="E141" s="109" t="s">
        <v>19</v>
      </c>
      <c r="F141" s="11"/>
      <c r="G141" s="11"/>
      <c r="H141" s="11"/>
      <c r="I141" s="11"/>
      <c r="J141" s="11"/>
      <c r="K141" s="11"/>
      <c r="L141" s="11"/>
      <c r="M141" s="11"/>
      <c r="N141" s="11"/>
      <c r="O141" s="11"/>
      <c r="P141" s="11"/>
      <c r="Q141" s="11"/>
      <c r="R141" s="11"/>
      <c r="S141" s="11"/>
      <c r="T141" s="11"/>
      <c r="U141" s="12"/>
      <c r="V141" s="46"/>
    </row>
    <row r="142" spans="1:22">
      <c r="A142" s="46"/>
      <c r="B142" s="116" t="s">
        <v>358</v>
      </c>
      <c r="C142" s="160"/>
      <c r="D142" s="66"/>
      <c r="E142" s="109"/>
      <c r="F142" s="11"/>
      <c r="G142" s="11"/>
      <c r="H142" s="11"/>
      <c r="I142" s="11"/>
      <c r="J142" s="11"/>
      <c r="K142" s="11"/>
      <c r="L142" s="11"/>
      <c r="M142" s="11"/>
      <c r="N142" s="11"/>
      <c r="O142" s="11"/>
      <c r="P142" s="11"/>
      <c r="Q142" s="11"/>
      <c r="R142" s="11"/>
      <c r="S142" s="11"/>
      <c r="T142" s="11"/>
      <c r="U142" s="12"/>
      <c r="V142" s="46"/>
    </row>
    <row r="143" spans="1:22">
      <c r="A143" s="46"/>
      <c r="B143" s="142"/>
      <c r="C143" s="160"/>
      <c r="D143" s="66"/>
      <c r="E143" s="109"/>
      <c r="F143" s="11"/>
      <c r="G143" s="11"/>
      <c r="H143" s="11"/>
      <c r="I143" s="11"/>
      <c r="J143" s="11"/>
      <c r="K143" s="11"/>
      <c r="L143" s="11"/>
      <c r="M143" s="11"/>
      <c r="N143" s="11"/>
      <c r="O143" s="11"/>
      <c r="P143" s="11"/>
      <c r="Q143" s="11"/>
      <c r="R143" s="11"/>
      <c r="S143" s="11"/>
      <c r="T143" s="11"/>
      <c r="U143" s="12"/>
      <c r="V143" s="46"/>
    </row>
    <row r="144" spans="1:22" ht="14.5" customHeight="1">
      <c r="A144" s="46"/>
      <c r="B144" s="142"/>
      <c r="C144" s="552"/>
      <c r="D144" s="553"/>
      <c r="E144" s="556" t="s">
        <v>409</v>
      </c>
      <c r="F144" s="501"/>
      <c r="G144" s="501"/>
      <c r="H144" s="501"/>
      <c r="I144" s="501"/>
      <c r="J144" s="454"/>
      <c r="K144" s="455"/>
      <c r="L144" s="455"/>
      <c r="M144" s="455"/>
      <c r="N144" s="457"/>
      <c r="O144" s="11"/>
      <c r="P144" s="11"/>
      <c r="Q144" s="11"/>
      <c r="R144" s="11"/>
      <c r="S144" s="11"/>
      <c r="T144" s="11"/>
      <c r="U144" s="12"/>
      <c r="V144" s="46"/>
    </row>
    <row r="145" spans="1:22" ht="31.5" customHeight="1">
      <c r="A145" s="46"/>
      <c r="B145" s="142"/>
      <c r="C145" s="598" t="s">
        <v>266</v>
      </c>
      <c r="D145" s="469" t="s">
        <v>338</v>
      </c>
      <c r="E145" s="124" t="s">
        <v>350</v>
      </c>
      <c r="F145" s="351" t="s">
        <v>713</v>
      </c>
      <c r="G145" s="92" t="s">
        <v>351</v>
      </c>
      <c r="H145" s="92" t="s">
        <v>352</v>
      </c>
      <c r="I145" s="92" t="s">
        <v>353</v>
      </c>
      <c r="J145" s="92" t="s">
        <v>347</v>
      </c>
      <c r="K145" s="405" t="s">
        <v>348</v>
      </c>
      <c r="L145" s="405" t="s">
        <v>354</v>
      </c>
      <c r="M145" s="405" t="s">
        <v>355</v>
      </c>
      <c r="N145" s="92" t="s">
        <v>356</v>
      </c>
      <c r="O145" s="11"/>
      <c r="P145" s="11"/>
      <c r="Q145" s="11"/>
      <c r="R145" s="11"/>
      <c r="S145" s="11"/>
      <c r="T145" s="11"/>
      <c r="U145" s="12"/>
      <c r="V145" s="46"/>
    </row>
    <row r="146" spans="1:22">
      <c r="A146" s="46"/>
      <c r="B146" s="142"/>
      <c r="C146" s="174">
        <v>80</v>
      </c>
      <c r="D146" s="176">
        <f>$G$140*C146+$I$140</f>
        <v>30</v>
      </c>
      <c r="E146" s="179">
        <f>$D$146*LOG(C146/$D$141)+$E$152</f>
        <v>82.286127763105625</v>
      </c>
      <c r="F146" s="179">
        <f>$D$146*LOG(C146/$D$141)+$F$152</f>
        <v>84.95394827799015</v>
      </c>
      <c r="G146" s="179">
        <f>$D$146*LOG(C146/$D$141)+$G$152</f>
        <v>82.617176434460262</v>
      </c>
      <c r="H146" s="179">
        <f>$D$146*LOG(C146/$D$141)+$H$152</f>
        <v>84.053403130045226</v>
      </c>
      <c r="I146" s="179">
        <f>$D$146*LOG(C146/$D$141)+$I$152</f>
        <v>80.140290512522952</v>
      </c>
      <c r="J146" s="179">
        <f>$D$146*LOG(C146/$D$141)+$J$152</f>
        <v>82.893176383739984</v>
      </c>
      <c r="K146" s="179">
        <f>$D$146*LOG(C146/$D$141)+$K$152</f>
        <v>93.171259369173072</v>
      </c>
      <c r="L146" s="179">
        <f>$D$146*LOG(C146/$D$141)+$L$152</f>
        <v>59.31394827799015</v>
      </c>
      <c r="M146" s="179">
        <f>$D$146*LOG(C146/$D$141)+$M$152</f>
        <v>80.253948277990148</v>
      </c>
      <c r="N146" s="179">
        <f>$D$146*LOG(C146/$D$141)+$N$152</f>
        <v>83.413948277990158</v>
      </c>
      <c r="O146" s="11"/>
      <c r="P146" s="11"/>
      <c r="Q146" s="11"/>
      <c r="R146" s="11"/>
      <c r="S146" s="11"/>
      <c r="T146" s="11"/>
      <c r="U146" s="12"/>
      <c r="V146" s="46"/>
    </row>
    <row r="147" spans="1:22">
      <c r="A147" s="46"/>
      <c r="B147" s="142"/>
      <c r="C147" s="174">
        <v>150</v>
      </c>
      <c r="D147" s="176">
        <f t="shared" ref="D147:D152" si="12">$G$140*C147+$I$140</f>
        <v>34.375</v>
      </c>
      <c r="E147" s="179">
        <f>$D$147*LOG(C147/$D$141)+$E$152</f>
        <v>89.184663947503509</v>
      </c>
      <c r="F147" s="179">
        <f>$D$147*LOG(C147/$D$141)+$F$152</f>
        <v>91.852484462388034</v>
      </c>
      <c r="G147" s="179">
        <f>$D$147*LOG(C147/$D$141)+$G$152</f>
        <v>89.515712618858146</v>
      </c>
      <c r="H147" s="179">
        <f>$D$147*LOG(C147/$D$141)+$H$152</f>
        <v>90.951939314443109</v>
      </c>
      <c r="I147" s="179">
        <f>$D$147*LOG(C147/$D$141)+$I$152</f>
        <v>87.038826696920836</v>
      </c>
      <c r="J147" s="179">
        <f>$D$147*LOG(C147/$D$141)+$J$152</f>
        <v>89.791712568137868</v>
      </c>
      <c r="K147" s="179">
        <f>$D$147*LOG(C147/$D$141)+$K$152</f>
        <v>100.06979555357096</v>
      </c>
      <c r="L147" s="179">
        <f>$D$147*LOG(C147/$D$141)+$L$152</f>
        <v>66.212484462388034</v>
      </c>
      <c r="M147" s="179">
        <f>$D$147*LOG(C147/$D$141)+$M$152</f>
        <v>87.152484462388031</v>
      </c>
      <c r="N147" s="179">
        <f>$D$147*LOG(C147/$D$141)+$N$152</f>
        <v>90.312484462388042</v>
      </c>
      <c r="O147" s="11"/>
      <c r="P147" s="11"/>
      <c r="Q147" s="11"/>
      <c r="R147" s="11"/>
      <c r="S147" s="11"/>
      <c r="T147" s="11"/>
      <c r="U147" s="12"/>
      <c r="V147" s="46"/>
    </row>
    <row r="148" spans="1:22">
      <c r="A148" s="46"/>
      <c r="B148" s="142"/>
      <c r="C148" s="174">
        <v>200</v>
      </c>
      <c r="D148" s="176">
        <f t="shared" si="12"/>
        <v>37.5</v>
      </c>
      <c r="E148" s="179">
        <f>$D$148*LOG(C148/$D$141)+$E$152</f>
        <v>92.947365157804569</v>
      </c>
      <c r="F148" s="179">
        <f>$D$148*LOG(C148/$D$141)+$F$152</f>
        <v>95.615185672689094</v>
      </c>
      <c r="G148" s="179">
        <f>$D$148*LOG(C148/$D$141)+$G$152</f>
        <v>93.278413829159206</v>
      </c>
      <c r="H148" s="179">
        <f>$D$148*LOG(C148/$D$141)+$H$152</f>
        <v>94.714640524744169</v>
      </c>
      <c r="I148" s="179">
        <f>$D$148*LOG(C148/$D$141)+$I$152</f>
        <v>90.801527907221896</v>
      </c>
      <c r="J148" s="179">
        <f>$D$148*LOG(C148/$D$141)+$J$152</f>
        <v>93.554413778438928</v>
      </c>
      <c r="K148" s="179">
        <f>$D$148*LOG(C148/$D$141)+$K$152</f>
        <v>103.83249676387202</v>
      </c>
      <c r="L148" s="179">
        <f>$D$148*LOG(C148/$D$141)+$L$152</f>
        <v>69.975185672689094</v>
      </c>
      <c r="M148" s="179">
        <f>$D$148*LOG(C148/$D$141)+$M$152</f>
        <v>90.915185672689091</v>
      </c>
      <c r="N148" s="179">
        <f>$D$148*LOG(C148/$D$141)+$N$152</f>
        <v>94.075185672689102</v>
      </c>
      <c r="O148" s="11"/>
      <c r="P148" s="11"/>
      <c r="Q148" s="11"/>
      <c r="R148" s="11"/>
      <c r="S148" s="11"/>
      <c r="T148" s="11"/>
      <c r="U148" s="12"/>
      <c r="V148" s="46"/>
    </row>
    <row r="149" spans="1:22">
      <c r="A149" s="46"/>
      <c r="B149" s="142"/>
      <c r="C149" s="174">
        <v>250</v>
      </c>
      <c r="D149" s="176">
        <f t="shared" si="12"/>
        <v>40.625</v>
      </c>
      <c r="E149" s="179">
        <f>$D$149*LOG(C149/$D$141)+$E$152</f>
        <v>96.352266575647619</v>
      </c>
      <c r="F149" s="179">
        <f>$D$149*LOG(C149/$D$141)+$F$152</f>
        <v>99.020087090532144</v>
      </c>
      <c r="G149" s="179">
        <f>$D$149*LOG(C149/$D$141)+$G$152</f>
        <v>96.683315247002255</v>
      </c>
      <c r="H149" s="179">
        <f>$D$149*LOG(C149/$D$141)+$H$152</f>
        <v>98.119541942587219</v>
      </c>
      <c r="I149" s="179">
        <f>$D$149*LOG(C149/$D$141)+$I$152</f>
        <v>94.206429325064946</v>
      </c>
      <c r="J149" s="179">
        <f>$D$149*LOG(C149/$D$141)+$J$152</f>
        <v>96.959315196281977</v>
      </c>
      <c r="K149" s="179">
        <f>$D$149*LOG(C149/$D$141)+$K$152</f>
        <v>107.23739818171506</v>
      </c>
      <c r="L149" s="179">
        <f>$D$149*LOG(C149/$D$141)+$L$152</f>
        <v>73.380087090532143</v>
      </c>
      <c r="M149" s="179">
        <f>$D$149*LOG(C149/$D$141)+$M$152</f>
        <v>94.320087090532141</v>
      </c>
      <c r="N149" s="179">
        <f>$D$149*LOG(C149/$D$141)+$N$152</f>
        <v>97.480087090532152</v>
      </c>
      <c r="O149" s="11"/>
      <c r="P149" s="11"/>
      <c r="Q149" s="11"/>
      <c r="R149" s="11"/>
      <c r="S149" s="11"/>
      <c r="T149" s="11"/>
      <c r="U149" s="12"/>
      <c r="V149" s="46"/>
    </row>
    <row r="150" spans="1:22">
      <c r="A150" s="46"/>
      <c r="B150" s="142"/>
      <c r="C150" s="174">
        <v>300</v>
      </c>
      <c r="D150" s="176">
        <f t="shared" si="12"/>
        <v>43.75</v>
      </c>
      <c r="E150" s="179">
        <f>$D$150*LOG(C150/$D$141)+$E$152</f>
        <v>99.587222020272151</v>
      </c>
      <c r="F150" s="179">
        <f>$D$150*LOG(C150/$D$141)+$F$152</f>
        <v>102.25504253515668</v>
      </c>
      <c r="G150" s="179">
        <f>$D$150*LOG(C150/$D$141)+$G$152</f>
        <v>99.918270691626788</v>
      </c>
      <c r="H150" s="179">
        <f>$D$150*LOG(C150/$D$141)+$H$152</f>
        <v>101.35449738721175</v>
      </c>
      <c r="I150" s="179">
        <f>$D$150*LOG(C150/$D$141)+$I$152</f>
        <v>97.441384769689478</v>
      </c>
      <c r="J150" s="179">
        <f>$D$150*LOG(C150/$D$141)+$J$152</f>
        <v>100.19427064090651</v>
      </c>
      <c r="K150" s="179">
        <f>$D$150*LOG(C150/$D$141)+$K$152</f>
        <v>110.4723536263396</v>
      </c>
      <c r="L150" s="179">
        <f>$D$150*LOG(C150/$D$141)+$L$152</f>
        <v>76.615042535156675</v>
      </c>
      <c r="M150" s="179">
        <f>$D$150*LOG(C150/$D$141)+$M$152</f>
        <v>97.555042535156673</v>
      </c>
      <c r="N150" s="179">
        <f>$D$150*LOG(C150/$D$141)+$N$152</f>
        <v>100.71504253515668</v>
      </c>
      <c r="O150" s="11"/>
      <c r="P150" s="11"/>
      <c r="Q150" s="11"/>
      <c r="R150" s="11"/>
      <c r="S150" s="11"/>
      <c r="T150" s="11"/>
      <c r="U150" s="12"/>
      <c r="V150" s="46"/>
    </row>
    <row r="151" spans="1:22">
      <c r="A151" s="46"/>
      <c r="B151" s="142"/>
      <c r="C151" s="174">
        <v>350</v>
      </c>
      <c r="D151" s="176">
        <f t="shared" si="12"/>
        <v>46.875</v>
      </c>
      <c r="E151" s="179">
        <f>$D$151*LOG(C151/$D$141)+$E$152</f>
        <v>102.7435701081469</v>
      </c>
      <c r="F151" s="179">
        <f>$D$151*LOG(C151/$D$141)+$F$152</f>
        <v>105.41139062303142</v>
      </c>
      <c r="G151" s="179">
        <f>$D$151*LOG(C151/$D$141)+$G$152</f>
        <v>103.07461877950153</v>
      </c>
      <c r="H151" s="179">
        <f>$D$151*LOG(C151/$D$141)+$H$152</f>
        <v>104.5108454750865</v>
      </c>
      <c r="I151" s="179">
        <f>$D$151*LOG(C151/$D$141)+$I$152</f>
        <v>100.59773285756422</v>
      </c>
      <c r="J151" s="179">
        <f>$D$151*LOG(C151/$D$141)+$J$152</f>
        <v>103.35061872878126</v>
      </c>
      <c r="K151" s="179">
        <f>$D$151*LOG(C151/$D$141)+$K$152</f>
        <v>113.62870171421434</v>
      </c>
      <c r="L151" s="179">
        <f>$D$151*LOG(C151/$D$141)+$L$152</f>
        <v>79.771390623031422</v>
      </c>
      <c r="M151" s="179">
        <f>$D$151*LOG(C151/$D$141)+$M$152</f>
        <v>100.71139062303142</v>
      </c>
      <c r="N151" s="179">
        <f>$D$151*LOG(C151/$D$141)+$N$152</f>
        <v>103.87139062303143</v>
      </c>
      <c r="O151" s="11"/>
      <c r="P151" s="11"/>
      <c r="Q151" s="11"/>
      <c r="R151" s="11"/>
      <c r="S151" s="11"/>
      <c r="T151" s="11"/>
      <c r="U151" s="12"/>
      <c r="V151" s="46"/>
    </row>
    <row r="152" spans="1:22">
      <c r="A152" s="46"/>
      <c r="B152" s="155" t="s">
        <v>385</v>
      </c>
      <c r="C152" s="174">
        <v>296</v>
      </c>
      <c r="D152" s="176">
        <f t="shared" si="12"/>
        <v>43.5</v>
      </c>
      <c r="E152" s="179">
        <f>E128</f>
        <v>99.332179485115475</v>
      </c>
      <c r="F152" s="179">
        <f t="shared" ref="F152:N152" si="13">F128</f>
        <v>102</v>
      </c>
      <c r="G152" s="179">
        <f t="shared" si="13"/>
        <v>99.663228156470112</v>
      </c>
      <c r="H152" s="179">
        <f t="shared" si="13"/>
        <v>101.09945485205508</v>
      </c>
      <c r="I152" s="179">
        <f t="shared" si="13"/>
        <v>97.186342234532802</v>
      </c>
      <c r="J152" s="179">
        <f t="shared" si="13"/>
        <v>99.939228105749834</v>
      </c>
      <c r="K152" s="179">
        <f t="shared" si="13"/>
        <v>110.21731109118292</v>
      </c>
      <c r="L152" s="179">
        <f t="shared" si="13"/>
        <v>76.36</v>
      </c>
      <c r="M152" s="179">
        <f t="shared" si="13"/>
        <v>97.3</v>
      </c>
      <c r="N152" s="179">
        <f t="shared" si="13"/>
        <v>100.46000000000001</v>
      </c>
      <c r="O152" s="11"/>
      <c r="P152" s="11"/>
      <c r="Q152" s="11"/>
      <c r="R152" s="11"/>
      <c r="S152" s="11"/>
      <c r="T152" s="11"/>
      <c r="U152" s="12"/>
      <c r="V152" s="46"/>
    </row>
    <row r="153" spans="1:22">
      <c r="A153" s="46"/>
      <c r="B153" s="155"/>
      <c r="C153" s="117"/>
      <c r="D153" s="184"/>
      <c r="E153" s="185"/>
      <c r="F153" s="185"/>
      <c r="G153" s="185"/>
      <c r="H153" s="185"/>
      <c r="I153" s="185"/>
      <c r="J153" s="185"/>
      <c r="K153" s="185"/>
      <c r="L153" s="185"/>
      <c r="M153" s="185"/>
      <c r="N153" s="185"/>
      <c r="O153" s="11"/>
      <c r="P153" s="11"/>
      <c r="Q153" s="11"/>
      <c r="R153" s="11"/>
      <c r="S153" s="11"/>
      <c r="T153" s="11"/>
      <c r="U153" s="12"/>
      <c r="V153" s="46"/>
    </row>
    <row r="154" spans="1:22" ht="14.5" customHeight="1">
      <c r="A154" s="46"/>
      <c r="B154" s="142"/>
      <c r="C154" s="599"/>
      <c r="D154" s="464"/>
      <c r="E154" s="556" t="s">
        <v>411</v>
      </c>
      <c r="F154" s="501"/>
      <c r="G154" s="501"/>
      <c r="H154" s="501"/>
      <c r="I154" s="501"/>
      <c r="J154" s="454"/>
      <c r="K154" s="455"/>
      <c r="L154" s="455"/>
      <c r="M154" s="455"/>
      <c r="N154" s="457"/>
      <c r="O154" s="11"/>
      <c r="P154" s="11"/>
      <c r="Q154" s="11"/>
      <c r="R154" s="11"/>
      <c r="S154" s="11"/>
      <c r="T154" s="11"/>
      <c r="U154" s="12"/>
      <c r="V154" s="46"/>
    </row>
    <row r="155" spans="1:22" ht="26">
      <c r="A155" s="46"/>
      <c r="B155" s="142"/>
      <c r="C155" s="598" t="s">
        <v>266</v>
      </c>
      <c r="D155" s="469" t="s">
        <v>338</v>
      </c>
      <c r="E155" s="167" t="s">
        <v>350</v>
      </c>
      <c r="F155" s="351" t="s">
        <v>713</v>
      </c>
      <c r="G155" s="165" t="s">
        <v>351</v>
      </c>
      <c r="H155" s="165" t="s">
        <v>352</v>
      </c>
      <c r="I155" s="165" t="s">
        <v>353</v>
      </c>
      <c r="J155" s="165" t="s">
        <v>347</v>
      </c>
      <c r="K155" s="405" t="s">
        <v>348</v>
      </c>
      <c r="L155" s="405" t="s">
        <v>354</v>
      </c>
      <c r="M155" s="405" t="s">
        <v>355</v>
      </c>
      <c r="N155" s="165" t="s">
        <v>356</v>
      </c>
      <c r="O155" s="11"/>
      <c r="P155" s="11"/>
      <c r="Q155" s="11"/>
      <c r="R155" s="11"/>
      <c r="S155" s="11"/>
      <c r="T155" s="11"/>
      <c r="U155" s="12"/>
      <c r="V155" s="46"/>
    </row>
    <row r="156" spans="1:22">
      <c r="A156" s="46"/>
      <c r="B156" s="142"/>
      <c r="C156" s="174">
        <v>80</v>
      </c>
      <c r="D156" s="176">
        <f>$G$140*C156+$I$140</f>
        <v>30</v>
      </c>
      <c r="E156" s="179">
        <f>$D$156*LOG($C$156/$D$141)+$E$162</f>
        <v>85.057197147883528</v>
      </c>
      <c r="F156" s="179">
        <f>$D$156*LOG($C$156/$D$141)+$F$162</f>
        <v>87.799441840221917</v>
      </c>
      <c r="G156" s="179">
        <f>$D$156*LOG($C$156/$D$141)+$G$162</f>
        <v>85.397481082602127</v>
      </c>
      <c r="H156" s="179">
        <f>$D$156*LOG($C$156/$D$141)+$H$162</f>
        <v>86.873774188149767</v>
      </c>
      <c r="I156" s="179">
        <f>$D$156*LOG($C$156/$D$141)+$I$162</f>
        <v>82.851497484730956</v>
      </c>
      <c r="J156" s="179">
        <f>$D$156*LOG($C$156/$D$141)+$J$162</f>
        <v>85.681180601282364</v>
      </c>
      <c r="K156" s="179">
        <f>$D$156*LOG($C$156/$D$141)+$K$162</f>
        <v>96.245991223648133</v>
      </c>
      <c r="L156" s="179">
        <f>$D$156*LOG($C$156/$D$141)+$L$162</f>
        <v>61.444162870264833</v>
      </c>
      <c r="M156" s="179">
        <f>$D$156*LOG($C$156/$D$141)+$M$162</f>
        <v>82.968325960393585</v>
      </c>
      <c r="N156" s="179">
        <f>$D$156*LOG($C$156/$D$141)+$N$162</f>
        <v>86.216480466831356</v>
      </c>
      <c r="O156" s="11"/>
      <c r="P156" s="11"/>
      <c r="Q156" s="11"/>
      <c r="R156" s="11"/>
      <c r="S156" s="11"/>
      <c r="T156" s="11"/>
      <c r="U156" s="12"/>
      <c r="V156" s="46"/>
    </row>
    <row r="157" spans="1:22">
      <c r="A157" s="46"/>
      <c r="B157" s="142"/>
      <c r="C157" s="174">
        <v>150</v>
      </c>
      <c r="D157" s="176">
        <f t="shared" ref="D157:D162" si="14">$G$140*C157+$I$140</f>
        <v>34.375</v>
      </c>
      <c r="E157" s="179">
        <f>$D$157*LOG($C$157/$D$141)+E162</f>
        <v>91.955733332281412</v>
      </c>
      <c r="F157" s="179">
        <f t="shared" ref="F157:N157" si="15">$D$157*LOG($C$157/$D$141)+F162</f>
        <v>94.6979780246198</v>
      </c>
      <c r="G157" s="179">
        <f t="shared" si="15"/>
        <v>92.296017267000011</v>
      </c>
      <c r="H157" s="179">
        <f t="shared" si="15"/>
        <v>93.772310372547651</v>
      </c>
      <c r="I157" s="179">
        <f t="shared" si="15"/>
        <v>89.75003366912884</v>
      </c>
      <c r="J157" s="179">
        <f t="shared" si="15"/>
        <v>92.579716785680247</v>
      </c>
      <c r="K157" s="179">
        <f t="shared" si="15"/>
        <v>103.14452740804602</v>
      </c>
      <c r="L157" s="179">
        <f t="shared" si="15"/>
        <v>68.342699054662717</v>
      </c>
      <c r="M157" s="179">
        <f t="shared" si="15"/>
        <v>89.866862144791469</v>
      </c>
      <c r="N157" s="179">
        <f t="shared" si="15"/>
        <v>93.11501665122924</v>
      </c>
      <c r="O157" s="11"/>
      <c r="P157" s="11"/>
      <c r="Q157" s="11"/>
      <c r="R157" s="11"/>
      <c r="S157" s="11"/>
      <c r="T157" s="11"/>
      <c r="U157" s="12"/>
      <c r="V157" s="46"/>
    </row>
    <row r="158" spans="1:22">
      <c r="A158" s="46"/>
      <c r="B158" s="142"/>
      <c r="C158" s="174">
        <v>200</v>
      </c>
      <c r="D158" s="176">
        <f t="shared" si="14"/>
        <v>37.5</v>
      </c>
      <c r="E158" s="179">
        <f>$D$158*LOG($C$158/$D$141)+E162</f>
        <v>95.718434542582472</v>
      </c>
      <c r="F158" s="179">
        <f t="shared" ref="F158:N158" si="16">$D$158*LOG($C$158/$D$141)+F162</f>
        <v>98.46067923492086</v>
      </c>
      <c r="G158" s="179">
        <f t="shared" si="16"/>
        <v>96.05871847730107</v>
      </c>
      <c r="H158" s="179">
        <f t="shared" si="16"/>
        <v>97.535011582848711</v>
      </c>
      <c r="I158" s="179">
        <f t="shared" si="16"/>
        <v>93.5127348794299</v>
      </c>
      <c r="J158" s="179">
        <f t="shared" si="16"/>
        <v>96.342417995981307</v>
      </c>
      <c r="K158" s="179">
        <f t="shared" si="16"/>
        <v>106.90722861834708</v>
      </c>
      <c r="L158" s="179">
        <f t="shared" si="16"/>
        <v>72.105400264963777</v>
      </c>
      <c r="M158" s="179">
        <f t="shared" si="16"/>
        <v>93.629563355092529</v>
      </c>
      <c r="N158" s="179">
        <f t="shared" si="16"/>
        <v>96.8777178615303</v>
      </c>
      <c r="O158" s="11"/>
      <c r="P158" s="125" t="s">
        <v>428</v>
      </c>
      <c r="Q158" s="11"/>
      <c r="R158" s="11"/>
      <c r="S158" s="11"/>
      <c r="T158" s="11"/>
      <c r="U158" s="12"/>
      <c r="V158" s="46"/>
    </row>
    <row r="159" spans="1:22">
      <c r="A159" s="46"/>
      <c r="B159" s="142"/>
      <c r="C159" s="174">
        <v>250</v>
      </c>
      <c r="D159" s="176">
        <f t="shared" si="14"/>
        <v>40.625</v>
      </c>
      <c r="E159" s="179">
        <f>$D$159*LOG($C$159/$D$141)+E162</f>
        <v>99.123335960425521</v>
      </c>
      <c r="F159" s="179">
        <f t="shared" ref="F159:N159" si="17">$D$159*LOG($C$159/$D$141)+F162</f>
        <v>101.86558065276391</v>
      </c>
      <c r="G159" s="179">
        <f t="shared" si="17"/>
        <v>99.46361989514412</v>
      </c>
      <c r="H159" s="179">
        <f t="shared" si="17"/>
        <v>100.93991300069176</v>
      </c>
      <c r="I159" s="179">
        <f t="shared" si="17"/>
        <v>96.917636297272949</v>
      </c>
      <c r="J159" s="179">
        <f t="shared" si="17"/>
        <v>99.747319413824357</v>
      </c>
      <c r="K159" s="179">
        <f t="shared" si="17"/>
        <v>110.31213003619013</v>
      </c>
      <c r="L159" s="179">
        <f t="shared" si="17"/>
        <v>75.510301682806826</v>
      </c>
      <c r="M159" s="179">
        <f t="shared" si="17"/>
        <v>97.034464772935578</v>
      </c>
      <c r="N159" s="179">
        <f t="shared" si="17"/>
        <v>100.28261927937335</v>
      </c>
      <c r="O159" s="11"/>
      <c r="P159" s="125" t="s">
        <v>429</v>
      </c>
      <c r="Q159" s="11"/>
      <c r="R159" s="11"/>
      <c r="S159" s="11"/>
      <c r="T159" s="11"/>
      <c r="U159" s="12"/>
      <c r="V159" s="46"/>
    </row>
    <row r="160" spans="1:22">
      <c r="A160" s="46"/>
      <c r="B160" s="142"/>
      <c r="C160" s="174">
        <v>300</v>
      </c>
      <c r="D160" s="176">
        <f t="shared" si="14"/>
        <v>43.75</v>
      </c>
      <c r="E160" s="179">
        <f>$D$160*LOG($C$160/$D$141)+E162</f>
        <v>102.35829140505005</v>
      </c>
      <c r="F160" s="179">
        <f t="shared" ref="F160:N160" si="18">$D$160*LOG($C$160/$D$141)+F162</f>
        <v>105.10053609738844</v>
      </c>
      <c r="G160" s="179">
        <f t="shared" si="18"/>
        <v>102.69857533976865</v>
      </c>
      <c r="H160" s="179">
        <f t="shared" si="18"/>
        <v>104.17486844531629</v>
      </c>
      <c r="I160" s="179">
        <f t="shared" si="18"/>
        <v>100.15259174189748</v>
      </c>
      <c r="J160" s="179">
        <f t="shared" si="18"/>
        <v>102.98227485844889</v>
      </c>
      <c r="K160" s="179">
        <f t="shared" si="18"/>
        <v>113.54708548081466</v>
      </c>
      <c r="L160" s="179">
        <f t="shared" si="18"/>
        <v>78.745257127431358</v>
      </c>
      <c r="M160" s="179">
        <f t="shared" si="18"/>
        <v>100.26942021756011</v>
      </c>
      <c r="N160" s="179">
        <f t="shared" si="18"/>
        <v>103.51757472399788</v>
      </c>
      <c r="O160" s="11"/>
      <c r="P160" s="11" t="s">
        <v>430</v>
      </c>
      <c r="Q160" s="11"/>
      <c r="R160" s="11"/>
      <c r="S160" s="11"/>
      <c r="T160" s="11"/>
      <c r="U160" s="12"/>
      <c r="V160" s="46"/>
    </row>
    <row r="161" spans="1:22">
      <c r="A161" s="46"/>
      <c r="B161" s="142"/>
      <c r="C161" s="174">
        <v>350</v>
      </c>
      <c r="D161" s="176">
        <f t="shared" si="14"/>
        <v>46.875</v>
      </c>
      <c r="E161" s="179">
        <f>$D$161*LOG($C$161/$D$141)+E162</f>
        <v>105.5146394929248</v>
      </c>
      <c r="F161" s="179">
        <f t="shared" ref="F161:N161" si="19">$D$161*LOG($C$161/$D$141)+F162</f>
        <v>108.25688418526319</v>
      </c>
      <c r="G161" s="179">
        <f t="shared" si="19"/>
        <v>105.8549234276434</v>
      </c>
      <c r="H161" s="179">
        <f t="shared" si="19"/>
        <v>107.33121653319104</v>
      </c>
      <c r="I161" s="179">
        <f t="shared" si="19"/>
        <v>103.30893982977223</v>
      </c>
      <c r="J161" s="179">
        <f t="shared" si="19"/>
        <v>106.13862294632364</v>
      </c>
      <c r="K161" s="179">
        <f t="shared" si="19"/>
        <v>116.70343356868941</v>
      </c>
      <c r="L161" s="179">
        <f t="shared" si="19"/>
        <v>81.901605215306105</v>
      </c>
      <c r="M161" s="179">
        <f t="shared" si="19"/>
        <v>103.42576830543486</v>
      </c>
      <c r="N161" s="179">
        <f t="shared" si="19"/>
        <v>106.67392281187263</v>
      </c>
      <c r="O161" s="11"/>
      <c r="P161" s="11"/>
      <c r="Q161" s="11"/>
      <c r="R161" s="15" t="s">
        <v>435</v>
      </c>
      <c r="S161" s="11"/>
      <c r="T161" s="11"/>
      <c r="U161" s="12"/>
      <c r="V161" s="46"/>
    </row>
    <row r="162" spans="1:22">
      <c r="A162" s="46"/>
      <c r="B162" s="155" t="s">
        <v>385</v>
      </c>
      <c r="C162" s="174">
        <v>296</v>
      </c>
      <c r="D162" s="176">
        <f t="shared" si="14"/>
        <v>43.5</v>
      </c>
      <c r="E162" s="179">
        <f>E129</f>
        <v>102.10324886989338</v>
      </c>
      <c r="F162" s="179">
        <f t="shared" ref="F162:N162" si="20">F129</f>
        <v>104.84549356223177</v>
      </c>
      <c r="G162" s="179">
        <f t="shared" si="20"/>
        <v>102.44353280461198</v>
      </c>
      <c r="H162" s="179">
        <f t="shared" si="20"/>
        <v>103.91982591015962</v>
      </c>
      <c r="I162" s="179">
        <f t="shared" si="20"/>
        <v>99.897549206740806</v>
      </c>
      <c r="J162" s="179">
        <f t="shared" si="20"/>
        <v>102.72723232329221</v>
      </c>
      <c r="K162" s="179">
        <f t="shared" si="20"/>
        <v>113.29204294565798</v>
      </c>
      <c r="L162" s="179">
        <f t="shared" si="20"/>
        <v>78.490214592274683</v>
      </c>
      <c r="M162" s="179">
        <f t="shared" si="20"/>
        <v>100.01437768240343</v>
      </c>
      <c r="N162" s="179">
        <f t="shared" si="20"/>
        <v>103.26253218884121</v>
      </c>
      <c r="O162" s="11"/>
      <c r="P162" s="11"/>
      <c r="Q162" s="11"/>
      <c r="R162" s="11"/>
      <c r="S162" s="11"/>
      <c r="T162" s="11"/>
      <c r="U162" s="12"/>
      <c r="V162" s="46"/>
    </row>
    <row r="163" spans="1:22">
      <c r="A163" s="46"/>
      <c r="B163" s="142"/>
      <c r="C163" s="160"/>
      <c r="D163" s="66"/>
      <c r="E163" s="109"/>
      <c r="F163" s="11"/>
      <c r="G163" s="11"/>
      <c r="H163" s="11"/>
      <c r="I163" s="11"/>
      <c r="J163" s="11"/>
      <c r="K163" s="11"/>
      <c r="L163" s="11"/>
      <c r="M163" s="11"/>
      <c r="N163" s="11"/>
      <c r="O163" s="11"/>
      <c r="P163" s="11"/>
      <c r="Q163" s="11"/>
      <c r="R163" s="11"/>
      <c r="S163" s="11"/>
      <c r="T163" s="11"/>
      <c r="U163" s="12"/>
      <c r="V163" s="46"/>
    </row>
    <row r="164" spans="1:22" ht="14.5" customHeight="1">
      <c r="A164" s="46"/>
      <c r="B164" s="142"/>
      <c r="C164" s="599"/>
      <c r="D164" s="464"/>
      <c r="E164" s="556" t="s">
        <v>359</v>
      </c>
      <c r="F164" s="501"/>
      <c r="G164" s="501"/>
      <c r="H164" s="501"/>
      <c r="I164" s="501"/>
      <c r="J164" s="454"/>
      <c r="K164" s="455"/>
      <c r="L164" s="455"/>
      <c r="M164" s="455"/>
      <c r="N164" s="457"/>
      <c r="O164" s="11"/>
      <c r="P164" s="11"/>
      <c r="Q164" s="11"/>
      <c r="R164" s="11"/>
      <c r="S164" s="11"/>
      <c r="T164" s="11"/>
      <c r="U164" s="12"/>
      <c r="V164" s="46"/>
    </row>
    <row r="165" spans="1:22" ht="26">
      <c r="A165" s="46"/>
      <c r="B165" s="142"/>
      <c r="C165" s="598" t="s">
        <v>266</v>
      </c>
      <c r="D165" s="469" t="s">
        <v>338</v>
      </c>
      <c r="E165" s="124" t="s">
        <v>350</v>
      </c>
      <c r="F165" s="351" t="s">
        <v>713</v>
      </c>
      <c r="G165" s="92" t="s">
        <v>351</v>
      </c>
      <c r="H165" s="92" t="s">
        <v>352</v>
      </c>
      <c r="I165" s="92" t="s">
        <v>353</v>
      </c>
      <c r="J165" s="92" t="s">
        <v>347</v>
      </c>
      <c r="K165" s="405" t="s">
        <v>348</v>
      </c>
      <c r="L165" s="405" t="s">
        <v>354</v>
      </c>
      <c r="M165" s="405" t="s">
        <v>355</v>
      </c>
      <c r="N165" s="92" t="s">
        <v>356</v>
      </c>
      <c r="O165" s="11"/>
      <c r="P165" s="11"/>
      <c r="Q165" s="11"/>
      <c r="R165" s="11"/>
      <c r="S165" s="11"/>
      <c r="T165" s="11"/>
      <c r="U165" s="12"/>
      <c r="V165" s="46"/>
    </row>
    <row r="166" spans="1:22">
      <c r="A166" s="46"/>
      <c r="B166" s="142"/>
      <c r="C166" s="174">
        <v>80</v>
      </c>
      <c r="D166" s="176">
        <f>$G$140*C166+$I$140</f>
        <v>30</v>
      </c>
      <c r="E166" s="179">
        <f>$D$166*LOG(C166/$D$141)+$E$172</f>
        <v>70.349213490216215</v>
      </c>
      <c r="F166" s="179">
        <f>$D$166*LOG(C166/$D$141)+$F$172</f>
        <v>72.696437548376423</v>
      </c>
      <c r="G166" s="179">
        <f>$D$166*LOG(C166/$D$141)+$G$172</f>
        <v>70.640479488618368</v>
      </c>
      <c r="H166" s="179">
        <f>$D$166*LOG(C166/$D$141)+$H$172</f>
        <v>71.904112418210289</v>
      </c>
      <c r="I166" s="179">
        <f>$D$166*LOG(C166/$D$141)+$I$172</f>
        <v>68.461245093780818</v>
      </c>
      <c r="J166" s="179">
        <f>$D$166*LOG(C166/$D$141)+$J$172</f>
        <v>70.883312062018973</v>
      </c>
      <c r="K166" s="179">
        <f>$D$166*LOG(C166/$D$141)+$K$172</f>
        <v>79.926260611434358</v>
      </c>
      <c r="L166" s="179">
        <f>$D$166*LOG(C166/$D$141)+$L$172</f>
        <v>50.137639265114615</v>
      </c>
      <c r="M166" s="179">
        <f>$D$166*LOG(C166/$D$141)+$M$172</f>
        <v>68.561244415329199</v>
      </c>
      <c r="N166" s="179">
        <f>$D$166*LOG(C166/$D$141)+$N$172</f>
        <v>71.341501926058825</v>
      </c>
      <c r="O166" s="11"/>
      <c r="P166" s="11"/>
      <c r="Q166" s="11"/>
      <c r="R166" s="11"/>
      <c r="S166" s="11"/>
      <c r="T166" s="11"/>
      <c r="U166" s="12"/>
      <c r="V166" s="46"/>
    </row>
    <row r="167" spans="1:22">
      <c r="A167" s="46"/>
      <c r="B167" s="142"/>
      <c r="C167" s="174">
        <v>150</v>
      </c>
      <c r="D167" s="176">
        <f t="shared" ref="D167:D172" si="21">$G$140*C167+$I$140</f>
        <v>34.375</v>
      </c>
      <c r="E167" s="179">
        <f>$D$167*LOG(C167/$D$141)+$E$172</f>
        <v>77.247749674614099</v>
      </c>
      <c r="F167" s="179">
        <f>$D$167*LOG(C167/$D$141)+$F$172</f>
        <v>79.594973732774307</v>
      </c>
      <c r="G167" s="179">
        <f>$D$167*LOG(C167/$D$141)+$G$172</f>
        <v>77.539015673016252</v>
      </c>
      <c r="H167" s="179">
        <f>$D$167*LOG(C167/$D$141)+$H$172</f>
        <v>78.802648602608173</v>
      </c>
      <c r="I167" s="179">
        <f>$D$167*LOG(C167/$D$141)+$I$172</f>
        <v>75.359781278178701</v>
      </c>
      <c r="J167" s="179">
        <f>$D$167*LOG(C167/$D$141)+$J$172</f>
        <v>77.781848246416857</v>
      </c>
      <c r="K167" s="179">
        <f>$D$167*LOG(C167/$D$141)+$K$172</f>
        <v>86.824796795832242</v>
      </c>
      <c r="L167" s="179">
        <f>$D$167*LOG(C167/$D$141)+$L$172</f>
        <v>57.036175449512498</v>
      </c>
      <c r="M167" s="179">
        <f>$D$167*LOG(C167/$D$141)+$M$172</f>
        <v>75.459780599727083</v>
      </c>
      <c r="N167" s="179">
        <f>$D$167*LOG(C167/$D$141)+$N$172</f>
        <v>78.240038110456709</v>
      </c>
      <c r="O167" s="11"/>
      <c r="P167" s="11"/>
      <c r="Q167" s="11"/>
      <c r="R167" s="11"/>
      <c r="S167" s="11"/>
      <c r="T167" s="11"/>
      <c r="U167" s="12"/>
      <c r="V167" s="46"/>
    </row>
    <row r="168" spans="1:22">
      <c r="A168" s="46"/>
      <c r="B168" s="142"/>
      <c r="C168" s="174">
        <v>200</v>
      </c>
      <c r="D168" s="176">
        <f t="shared" si="21"/>
        <v>37.5</v>
      </c>
      <c r="E168" s="179">
        <f>$D$168*LOG(C168/$D$141)+$E$172</f>
        <v>81.010450884915159</v>
      </c>
      <c r="F168" s="179">
        <f>$D$168*LOG(C168/$D$141)+$F$172</f>
        <v>83.357674943075367</v>
      </c>
      <c r="G168" s="179">
        <f>$D$168*LOG(C168/$D$141)+$G$172</f>
        <v>81.301716883317312</v>
      </c>
      <c r="H168" s="179">
        <f>$D$168*LOG(C168/$D$141)+$H$172</f>
        <v>82.565349812909233</v>
      </c>
      <c r="I168" s="179">
        <f>$D$168*LOG(C168/$D$141)+$I$172</f>
        <v>79.122482488479761</v>
      </c>
      <c r="J168" s="179">
        <f>$D$168*LOG(C168/$D$141)+$J$172</f>
        <v>81.544549456717917</v>
      </c>
      <c r="K168" s="179">
        <f>$D$168*LOG(C168/$D$141)+$K$172</f>
        <v>90.587498006133302</v>
      </c>
      <c r="L168" s="179">
        <f>$D$168*LOG(C168/$D$141)+$L$172</f>
        <v>60.798876659813558</v>
      </c>
      <c r="M168" s="179">
        <f>$D$168*LOG(C168/$D$141)+$M$172</f>
        <v>79.222481810028142</v>
      </c>
      <c r="N168" s="179">
        <f>$D$168*LOG(C168/$D$141)+$N$172</f>
        <v>82.002739320757769</v>
      </c>
      <c r="O168" s="11"/>
      <c r="P168" s="11"/>
      <c r="Q168" s="11"/>
      <c r="R168" s="11"/>
      <c r="S168" s="11"/>
      <c r="T168" s="11"/>
      <c r="U168" s="12"/>
      <c r="V168" s="46"/>
    </row>
    <row r="169" spans="1:22">
      <c r="A169" s="46"/>
      <c r="B169" s="142"/>
      <c r="C169" s="174">
        <v>250</v>
      </c>
      <c r="D169" s="176">
        <f t="shared" si="21"/>
        <v>40.625</v>
      </c>
      <c r="E169" s="179">
        <f>$D$169*LOG(C169/$D$141)+$E$172</f>
        <v>84.415352302758208</v>
      </c>
      <c r="F169" s="179">
        <f>$D$169*LOG(C169/$D$141)+$F$172</f>
        <v>86.762576360918416</v>
      </c>
      <c r="G169" s="179">
        <f>$D$169*LOG(C169/$D$141)+$G$172</f>
        <v>84.706618301160361</v>
      </c>
      <c r="H169" s="179">
        <f>$D$169*LOG(C169/$D$141)+$H$172</f>
        <v>85.970251230752282</v>
      </c>
      <c r="I169" s="179">
        <f>$D$169*LOG(C169/$D$141)+$I$172</f>
        <v>82.527383906322811</v>
      </c>
      <c r="J169" s="179">
        <f>$D$169*LOG(C169/$D$141)+$J$172</f>
        <v>84.949450874560966</v>
      </c>
      <c r="K169" s="179">
        <f>$D$169*LOG(C169/$D$141)+$K$172</f>
        <v>93.992399423976352</v>
      </c>
      <c r="L169" s="179">
        <f>$D$169*LOG(C169/$D$141)+$L$172</f>
        <v>64.203778077656608</v>
      </c>
      <c r="M169" s="179">
        <f>$D$169*LOG(C169/$D$141)+$M$172</f>
        <v>82.627383227871192</v>
      </c>
      <c r="N169" s="179">
        <f>$D$169*LOG(C169/$D$141)+$N$172</f>
        <v>85.407640738600819</v>
      </c>
      <c r="O169" s="11"/>
      <c r="P169" s="11"/>
      <c r="Q169" s="11"/>
      <c r="R169" s="11"/>
      <c r="S169" s="11"/>
      <c r="T169" s="11"/>
      <c r="U169" s="12"/>
      <c r="V169" s="46"/>
    </row>
    <row r="170" spans="1:22">
      <c r="A170" s="46"/>
      <c r="B170" s="142"/>
      <c r="C170" s="174">
        <v>300</v>
      </c>
      <c r="D170" s="176">
        <f t="shared" si="21"/>
        <v>43.75</v>
      </c>
      <c r="E170" s="179">
        <f>$D$170*LOG(C170/$D$141)+$E$172</f>
        <v>87.65030774738274</v>
      </c>
      <c r="F170" s="179">
        <f>$D$170*LOG(C170/$D$141)+$F$172</f>
        <v>89.997531805542948</v>
      </c>
      <c r="G170" s="179">
        <f>$D$170*LOG(C170/$D$141)+$G$172</f>
        <v>87.941573745784893</v>
      </c>
      <c r="H170" s="179">
        <f>$D$170*LOG(C170/$D$141)+$H$172</f>
        <v>89.205206675376814</v>
      </c>
      <c r="I170" s="179">
        <f>$D$170*LOG(C170/$D$141)+$I$172</f>
        <v>85.762339350947343</v>
      </c>
      <c r="J170" s="179">
        <f>$D$170*LOG(C170/$D$141)+$J$172</f>
        <v>88.184406319185499</v>
      </c>
      <c r="K170" s="179">
        <f>$D$170*LOG(C170/$D$141)+$K$172</f>
        <v>97.227354868600884</v>
      </c>
      <c r="L170" s="179">
        <f>$D$170*LOG(C170/$D$141)+$L$172</f>
        <v>67.43873352228114</v>
      </c>
      <c r="M170" s="179">
        <f>$D$170*LOG(C170/$D$141)+$M$172</f>
        <v>85.862338672495724</v>
      </c>
      <c r="N170" s="179">
        <f>$D$170*LOG(C170/$D$141)+$N$172</f>
        <v>88.642596183225351</v>
      </c>
      <c r="O170" s="11"/>
      <c r="P170" s="11"/>
      <c r="Q170" s="11"/>
      <c r="R170" s="11"/>
      <c r="S170" s="11"/>
      <c r="T170" s="11"/>
      <c r="U170" s="12"/>
      <c r="V170" s="46"/>
    </row>
    <row r="171" spans="1:22">
      <c r="A171" s="46"/>
      <c r="B171" s="142"/>
      <c r="C171" s="174">
        <v>350</v>
      </c>
      <c r="D171" s="176">
        <f t="shared" si="21"/>
        <v>46.875</v>
      </c>
      <c r="E171" s="179">
        <f>$D$171*LOG(C171/$D$141)+$E$172</f>
        <v>90.806655835257487</v>
      </c>
      <c r="F171" s="179">
        <f>$D$171*LOG(C171/$D$141)+$F$172</f>
        <v>93.153879893417695</v>
      </c>
      <c r="G171" s="179">
        <f>$D$171*LOG(C171/$D$141)+$G$172</f>
        <v>91.09792183365964</v>
      </c>
      <c r="H171" s="179">
        <f>$D$171*LOG(C171/$D$141)+$H$172</f>
        <v>92.361554763251561</v>
      </c>
      <c r="I171" s="179">
        <f>$D$171*LOG(C171/$D$141)+$I$172</f>
        <v>88.91868743882209</v>
      </c>
      <c r="J171" s="179">
        <f>$D$171*LOG(C171/$D$141)+$J$172</f>
        <v>91.340754407060246</v>
      </c>
      <c r="K171" s="179">
        <f>$D$171*LOG(C171/$D$141)+$K$172</f>
        <v>100.38370295647563</v>
      </c>
      <c r="L171" s="179">
        <f>$D$171*LOG(C171/$D$141)+$L$172</f>
        <v>70.595081610155887</v>
      </c>
      <c r="M171" s="179">
        <f>$D$171*LOG(C171/$D$141)+$M$172</f>
        <v>89.018686760370471</v>
      </c>
      <c r="N171" s="179">
        <f>$D$171*LOG(C171/$D$141)+$N$172</f>
        <v>91.798944271100098</v>
      </c>
      <c r="O171" s="11"/>
      <c r="P171" s="11"/>
      <c r="Q171" s="11"/>
      <c r="R171" s="11"/>
      <c r="S171" s="11"/>
      <c r="T171" s="11"/>
      <c r="U171" s="12"/>
      <c r="V171" s="46"/>
    </row>
    <row r="172" spans="1:22">
      <c r="A172" s="46"/>
      <c r="B172" s="155" t="s">
        <v>385</v>
      </c>
      <c r="C172" s="174">
        <v>296</v>
      </c>
      <c r="D172" s="176">
        <f t="shared" si="21"/>
        <v>43.5</v>
      </c>
      <c r="E172" s="179">
        <f>E130</f>
        <v>87.395265212226064</v>
      </c>
      <c r="F172" s="179">
        <f t="shared" ref="F172:N172" si="22">F130</f>
        <v>89.742489270386272</v>
      </c>
      <c r="G172" s="179">
        <f t="shared" si="22"/>
        <v>87.686531210628218</v>
      </c>
      <c r="H172" s="179">
        <f t="shared" si="22"/>
        <v>88.950164140220139</v>
      </c>
      <c r="I172" s="179">
        <f t="shared" si="22"/>
        <v>85.507296815790667</v>
      </c>
      <c r="J172" s="179">
        <f t="shared" si="22"/>
        <v>87.929363784028823</v>
      </c>
      <c r="K172" s="179">
        <f t="shared" si="22"/>
        <v>96.972312333444208</v>
      </c>
      <c r="L172" s="179">
        <f t="shared" si="22"/>
        <v>67.183690987124464</v>
      </c>
      <c r="M172" s="179">
        <f t="shared" si="22"/>
        <v>85.607296137339048</v>
      </c>
      <c r="N172" s="179">
        <f t="shared" si="22"/>
        <v>88.387553648068675</v>
      </c>
      <c r="O172" s="11"/>
      <c r="P172" s="11"/>
      <c r="Q172" s="11"/>
      <c r="R172" s="11"/>
      <c r="S172" s="11"/>
      <c r="T172" s="11"/>
      <c r="U172" s="12"/>
      <c r="V172" s="46"/>
    </row>
    <row r="173" spans="1:22" ht="15" customHeight="1">
      <c r="A173" s="46"/>
      <c r="B173" s="10"/>
      <c r="C173" s="11"/>
      <c r="D173" s="11"/>
      <c r="E173" s="11"/>
      <c r="F173" s="11"/>
      <c r="G173" s="11"/>
      <c r="H173" s="11"/>
      <c r="I173" s="11"/>
      <c r="J173" s="11"/>
      <c r="K173" s="11"/>
      <c r="L173" s="11"/>
      <c r="M173" s="11"/>
      <c r="N173" s="11"/>
      <c r="O173" s="11"/>
      <c r="P173" s="11"/>
      <c r="Q173" s="11"/>
      <c r="R173" s="11"/>
      <c r="S173" s="11"/>
      <c r="T173" s="11"/>
      <c r="U173" s="12"/>
      <c r="V173" s="46"/>
    </row>
    <row r="174" spans="1:22" ht="14.5" customHeight="1">
      <c r="A174" s="46"/>
      <c r="B174" s="10"/>
      <c r="C174" s="559"/>
      <c r="D174" s="553"/>
      <c r="E174" s="556" t="s">
        <v>360</v>
      </c>
      <c r="F174" s="501"/>
      <c r="G174" s="501"/>
      <c r="H174" s="501"/>
      <c r="I174" s="501"/>
      <c r="J174" s="454"/>
      <c r="K174" s="455"/>
      <c r="L174" s="455"/>
      <c r="M174" s="455"/>
      <c r="N174" s="457"/>
      <c r="O174" s="11"/>
      <c r="P174" s="11"/>
      <c r="Q174" s="11"/>
      <c r="R174" s="11"/>
      <c r="S174" s="11"/>
      <c r="T174" s="11"/>
      <c r="U174" s="12"/>
      <c r="V174" s="46"/>
    </row>
    <row r="175" spans="1:22" ht="30.5" customHeight="1">
      <c r="A175" s="46"/>
      <c r="B175" s="10"/>
      <c r="C175" s="598" t="s">
        <v>266</v>
      </c>
      <c r="D175" s="469" t="s">
        <v>338</v>
      </c>
      <c r="E175" s="124" t="s">
        <v>350</v>
      </c>
      <c r="F175" s="351" t="s">
        <v>713</v>
      </c>
      <c r="G175" s="92" t="s">
        <v>351</v>
      </c>
      <c r="H175" s="92" t="s">
        <v>352</v>
      </c>
      <c r="I175" s="92" t="s">
        <v>353</v>
      </c>
      <c r="J175" s="92" t="s">
        <v>347</v>
      </c>
      <c r="K175" s="405" t="s">
        <v>348</v>
      </c>
      <c r="L175" s="405" t="s">
        <v>354</v>
      </c>
      <c r="M175" s="405" t="s">
        <v>355</v>
      </c>
      <c r="N175" s="92" t="s">
        <v>356</v>
      </c>
      <c r="O175" s="11"/>
      <c r="P175" s="11"/>
      <c r="Q175" s="11"/>
      <c r="R175" s="11"/>
      <c r="S175" s="11"/>
      <c r="T175" s="11"/>
      <c r="U175" s="12"/>
      <c r="V175" s="46"/>
    </row>
    <row r="176" spans="1:22">
      <c r="A176" s="46"/>
      <c r="B176" s="10"/>
      <c r="C176" s="174">
        <v>80</v>
      </c>
      <c r="D176" s="176">
        <f>$G$140*C176+$I$140</f>
        <v>30</v>
      </c>
      <c r="E176" s="179">
        <f>$D$176*LOG(C176/$D$141)+$E$182</f>
        <v>69.557401029739964</v>
      </c>
      <c r="F176" s="179">
        <f>$D$176*LOG(C176/$D$141)+$F$182</f>
        <v>71.904625087900172</v>
      </c>
      <c r="G176" s="179">
        <f>$D$176*LOG(C176/$D$141)+$G$182</f>
        <v>69.848667028142117</v>
      </c>
      <c r="H176" s="179">
        <f>$D$176*LOG(C176/$D$141)+$H$182</f>
        <v>71.112299957734038</v>
      </c>
      <c r="I176" s="179">
        <f>$D$176*LOG(C176/$D$141)+$I$182</f>
        <v>67.669432633304567</v>
      </c>
      <c r="J176" s="179">
        <f>$D$176*LOG(C176/$D$141)+$J$182</f>
        <v>70.091499601542722</v>
      </c>
      <c r="K176" s="179">
        <f>$D$176*LOG(C176/$D$141)+$K$182</f>
        <v>79.134448150958107</v>
      </c>
      <c r="L176" s="179">
        <f>$D$176*LOG(C176/$D$141)+$L$182</f>
        <v>49.345826804638364</v>
      </c>
      <c r="M176" s="179">
        <f>$D$176*LOG(C176/$D$141)+$M$182</f>
        <v>67.769431954852948</v>
      </c>
      <c r="N176" s="179">
        <f>$D$176*LOG(C176/$D$141)+$N$182</f>
        <v>70.549689465582574</v>
      </c>
      <c r="O176" s="11"/>
      <c r="P176" s="11"/>
      <c r="Q176" s="11"/>
      <c r="R176" s="11"/>
      <c r="S176" s="11"/>
      <c r="T176" s="11"/>
      <c r="U176" s="12"/>
      <c r="V176" s="46"/>
    </row>
    <row r="177" spans="1:23">
      <c r="A177" s="46"/>
      <c r="B177" s="10"/>
      <c r="C177" s="174">
        <v>150</v>
      </c>
      <c r="D177" s="176">
        <f t="shared" ref="D177:D182" si="23">$G$140*C177+$I$140</f>
        <v>34.375</v>
      </c>
      <c r="E177" s="179">
        <f>$D$177*LOG(C177/$D$141)+$E$182</f>
        <v>76.455937214137847</v>
      </c>
      <c r="F177" s="179">
        <f>$D$177*LOG(C177/$D$141)+$F$182</f>
        <v>78.803161272298055</v>
      </c>
      <c r="G177" s="179">
        <f>$D$177*LOG(C177/$D$141)+$G$182</f>
        <v>76.747203212540001</v>
      </c>
      <c r="H177" s="179">
        <f>$D$177*LOG(C177/$D$141)+$H$182</f>
        <v>78.010836142131922</v>
      </c>
      <c r="I177" s="179">
        <f>$D$177*LOG(C177/$D$141)+$I$182</f>
        <v>74.56796881770245</v>
      </c>
      <c r="J177" s="179">
        <f>$D$177*LOG(C177/$D$141)+$J$182</f>
        <v>76.990035785940606</v>
      </c>
      <c r="K177" s="179">
        <f>$D$177*LOG(C177/$D$141)+$K$182</f>
        <v>86.032984335355991</v>
      </c>
      <c r="L177" s="179">
        <f>$D$177*LOG(C177/$D$141)+$L$182</f>
        <v>56.244362989036247</v>
      </c>
      <c r="M177" s="179">
        <f>$D$177*LOG(C177/$D$141)+$M$182</f>
        <v>74.667968139250831</v>
      </c>
      <c r="N177" s="179">
        <f>$D$177*LOG(C177/$D$141)+$N$182</f>
        <v>77.448225649980458</v>
      </c>
      <c r="O177" s="11"/>
      <c r="P177" s="11"/>
      <c r="Q177" s="11"/>
      <c r="R177" s="11"/>
      <c r="S177" s="11"/>
      <c r="T177" s="11"/>
      <c r="U177" s="12"/>
      <c r="V177" s="46"/>
    </row>
    <row r="178" spans="1:23">
      <c r="A178" s="46"/>
      <c r="B178" s="10"/>
      <c r="C178" s="174">
        <v>200</v>
      </c>
      <c r="D178" s="176">
        <f t="shared" si="23"/>
        <v>37.5</v>
      </c>
      <c r="E178" s="179">
        <f>$D$178*LOG(C178/$D$141)+$E$182</f>
        <v>80.218638424438907</v>
      </c>
      <c r="F178" s="179">
        <f>$D$178*LOG(C178/$D$141)+$F$182</f>
        <v>82.565862482599115</v>
      </c>
      <c r="G178" s="179">
        <f>$D$178*LOG(C178/$D$141)+$G$182</f>
        <v>80.509904422841061</v>
      </c>
      <c r="H178" s="179">
        <f>$D$178*LOG(C178/$D$141)+$H$182</f>
        <v>81.773537352432982</v>
      </c>
      <c r="I178" s="179">
        <f>$D$178*LOG(C178/$D$141)+$I$182</f>
        <v>78.33067002800351</v>
      </c>
      <c r="J178" s="179">
        <f>$D$178*LOG(C178/$D$141)+$J$182</f>
        <v>80.752736996241666</v>
      </c>
      <c r="K178" s="179">
        <f>$D$178*LOG(C178/$D$141)+$K$182</f>
        <v>89.795685545657051</v>
      </c>
      <c r="L178" s="179">
        <f>$D$178*LOG(C178/$D$141)+$L$182</f>
        <v>60.007064199337307</v>
      </c>
      <c r="M178" s="179">
        <f>$D$178*LOG(C178/$D$141)+$M$182</f>
        <v>78.430669349551891</v>
      </c>
      <c r="N178" s="179">
        <f>$D$178*LOG(C178/$D$141)+$N$182</f>
        <v>81.210926860281518</v>
      </c>
      <c r="O178" s="11"/>
      <c r="P178" s="11"/>
      <c r="Q178" s="11"/>
      <c r="R178" s="11"/>
      <c r="S178" s="11"/>
      <c r="T178" s="11"/>
      <c r="U178" s="12"/>
      <c r="V178" s="46"/>
      <c r="W178" s="46"/>
    </row>
    <row r="179" spans="1:23">
      <c r="A179" s="46"/>
      <c r="B179" s="10"/>
      <c r="C179" s="174">
        <v>250</v>
      </c>
      <c r="D179" s="176">
        <f t="shared" si="23"/>
        <v>40.625</v>
      </c>
      <c r="E179" s="179">
        <f>$D$179*LOG(C179/$D$141)+$E$182</f>
        <v>83.623539842281957</v>
      </c>
      <c r="F179" s="179">
        <f>$D$179*LOG(C179/$D$141)+$F$182</f>
        <v>85.970763900442165</v>
      </c>
      <c r="G179" s="179">
        <f>$D$179*LOG(C179/$D$141)+$G$182</f>
        <v>83.91480584068411</v>
      </c>
      <c r="H179" s="179">
        <f>$D$179*LOG(C179/$D$141)+$H$182</f>
        <v>85.178438770276031</v>
      </c>
      <c r="I179" s="179">
        <f>$D$179*LOG(C179/$D$141)+$I$182</f>
        <v>81.73557144584656</v>
      </c>
      <c r="J179" s="179">
        <f>$D$179*LOG(C179/$D$141)+$J$182</f>
        <v>84.157638414084715</v>
      </c>
      <c r="K179" s="179">
        <f>$D$179*LOG(C179/$D$141)+$K$182</f>
        <v>93.200586963500101</v>
      </c>
      <c r="L179" s="179">
        <f>$D$179*LOG(C179/$D$141)+$L$182</f>
        <v>63.411965617180364</v>
      </c>
      <c r="M179" s="179">
        <f>$D$179*LOG(C179/$D$141)+$M$182</f>
        <v>81.835570767394941</v>
      </c>
      <c r="N179" s="179">
        <f>$D$179*LOG(C179/$D$141)+$N$182</f>
        <v>84.615828278124567</v>
      </c>
      <c r="O179" s="11"/>
      <c r="P179" s="11"/>
      <c r="Q179" s="11"/>
      <c r="R179" s="11"/>
      <c r="S179" s="11"/>
      <c r="T179" s="11"/>
      <c r="U179" s="12"/>
      <c r="V179" s="46"/>
      <c r="W179" s="46"/>
    </row>
    <row r="180" spans="1:23">
      <c r="A180" s="46"/>
      <c r="B180" s="116"/>
      <c r="C180" s="174">
        <v>300</v>
      </c>
      <c r="D180" s="176">
        <f t="shared" si="23"/>
        <v>43.75</v>
      </c>
      <c r="E180" s="179">
        <f>$D$180*LOG(C180/$D$141)+$E$182</f>
        <v>86.858495286906489</v>
      </c>
      <c r="F180" s="179">
        <f>$D$180*LOG(C180/$D$141)+$F$182</f>
        <v>89.205719345066697</v>
      </c>
      <c r="G180" s="179">
        <f>$D$180*LOG(C180/$D$141)+$G$182</f>
        <v>87.149761285308642</v>
      </c>
      <c r="H180" s="179">
        <f>$D$180*LOG(C180/$D$141)+$H$182</f>
        <v>88.413394214900563</v>
      </c>
      <c r="I180" s="179">
        <f>$D$180*LOG(C180/$D$141)+$I$182</f>
        <v>84.970526890471092</v>
      </c>
      <c r="J180" s="179">
        <f>$D$180*LOG(C180/$D$141)+$J$182</f>
        <v>87.392593858709247</v>
      </c>
      <c r="K180" s="179">
        <f>$D$180*LOG(C180/$D$141)+$K$182</f>
        <v>96.435542408124633</v>
      </c>
      <c r="L180" s="179">
        <f>$D$180*LOG(C180/$D$141)+$L$182</f>
        <v>66.646921061804889</v>
      </c>
      <c r="M180" s="179">
        <f>$D$180*LOG(C180/$D$141)+$M$182</f>
        <v>85.070526212019473</v>
      </c>
      <c r="N180" s="179">
        <f>$D$180*LOG(C180/$D$141)+$N$182</f>
        <v>87.8507837227491</v>
      </c>
      <c r="O180" s="11"/>
      <c r="P180" s="11"/>
      <c r="Q180" s="11"/>
      <c r="R180" s="11"/>
      <c r="S180" s="11"/>
      <c r="T180" s="11"/>
      <c r="U180" s="12"/>
      <c r="V180" s="46"/>
      <c r="W180" s="46"/>
    </row>
    <row r="181" spans="1:23">
      <c r="A181" s="46"/>
      <c r="B181" s="116"/>
      <c r="C181" s="174">
        <v>350</v>
      </c>
      <c r="D181" s="176">
        <f t="shared" si="23"/>
        <v>46.875</v>
      </c>
      <c r="E181" s="179">
        <f>$D$181*LOG(C181/$D$141)+$E$182</f>
        <v>90.014843374781236</v>
      </c>
      <c r="F181" s="179">
        <f>$D$181*LOG(C181/$D$141)+$F$182</f>
        <v>92.362067432941444</v>
      </c>
      <c r="G181" s="179">
        <f>$D$181*LOG(C181/$D$141)+$G$182</f>
        <v>90.306109373183389</v>
      </c>
      <c r="H181" s="179">
        <f>$D$181*LOG(C181/$D$141)+$H$182</f>
        <v>91.56974230277531</v>
      </c>
      <c r="I181" s="179">
        <f>$D$181*LOG(C181/$D$141)+$I$182</f>
        <v>88.126874978345839</v>
      </c>
      <c r="J181" s="179">
        <f>$D$181*LOG(C181/$D$141)+$J$182</f>
        <v>90.548941946583994</v>
      </c>
      <c r="K181" s="179">
        <f>$D$181*LOG(C181/$D$141)+$K$182</f>
        <v>99.59189049599938</v>
      </c>
      <c r="L181" s="179">
        <f>$D$181*LOG(C181/$D$141)+$L$182</f>
        <v>69.803269149679636</v>
      </c>
      <c r="M181" s="179">
        <f>$D$181*LOG(C181/$D$141)+$M$182</f>
        <v>88.22687429989422</v>
      </c>
      <c r="N181" s="179">
        <f>$D$181*LOG(C181/$D$141)+$N$182</f>
        <v>91.007131810623846</v>
      </c>
      <c r="O181" s="11"/>
      <c r="P181" s="11"/>
      <c r="Q181" s="11"/>
      <c r="R181" s="11"/>
      <c r="S181" s="11"/>
      <c r="T181" s="11"/>
      <c r="U181" s="12"/>
      <c r="V181" s="46"/>
    </row>
    <row r="182" spans="1:23">
      <c r="A182" s="46"/>
      <c r="B182" s="155" t="s">
        <v>385</v>
      </c>
      <c r="C182" s="174">
        <v>296</v>
      </c>
      <c r="D182" s="176">
        <f t="shared" si="23"/>
        <v>43.5</v>
      </c>
      <c r="E182" s="179">
        <f>E131</f>
        <v>86.603452751749813</v>
      </c>
      <c r="F182" s="179">
        <f t="shared" ref="F182:N182" si="24">F131</f>
        <v>88.950676809910021</v>
      </c>
      <c r="G182" s="179">
        <f t="shared" si="24"/>
        <v>86.894718750151966</v>
      </c>
      <c r="H182" s="179">
        <f t="shared" si="24"/>
        <v>88.158351679743888</v>
      </c>
      <c r="I182" s="179">
        <f t="shared" si="24"/>
        <v>84.715484355314416</v>
      </c>
      <c r="J182" s="179">
        <f t="shared" si="24"/>
        <v>87.137551323552572</v>
      </c>
      <c r="K182" s="179">
        <f t="shared" si="24"/>
        <v>96.180499872967957</v>
      </c>
      <c r="L182" s="179">
        <f t="shared" si="24"/>
        <v>66.391878526648213</v>
      </c>
      <c r="M182" s="179">
        <f t="shared" si="24"/>
        <v>84.815483676862797</v>
      </c>
      <c r="N182" s="179">
        <f t="shared" si="24"/>
        <v>87.595741187592424</v>
      </c>
      <c r="O182" s="11"/>
      <c r="P182" s="11"/>
      <c r="Q182" s="11"/>
      <c r="R182" s="11"/>
      <c r="S182" s="11"/>
      <c r="T182" s="11"/>
      <c r="U182" s="12"/>
      <c r="V182" s="46"/>
    </row>
    <row r="183" spans="1:23">
      <c r="A183" s="46"/>
      <c r="B183" s="116"/>
      <c r="C183" s="117"/>
      <c r="D183" s="184"/>
      <c r="E183" s="185"/>
      <c r="F183" s="185"/>
      <c r="G183" s="185"/>
      <c r="H183" s="185"/>
      <c r="I183" s="185"/>
      <c r="J183" s="185"/>
      <c r="K183" s="185"/>
      <c r="L183" s="185"/>
      <c r="M183" s="185"/>
      <c r="N183" s="185"/>
      <c r="O183" s="11"/>
      <c r="P183" s="11"/>
      <c r="Q183" s="11"/>
      <c r="R183" s="11"/>
      <c r="S183" s="11"/>
      <c r="T183" s="11"/>
      <c r="U183" s="12"/>
      <c r="V183" s="46"/>
    </row>
    <row r="184" spans="1:23" ht="16.5">
      <c r="A184" s="46"/>
      <c r="B184" s="116" t="s">
        <v>361</v>
      </c>
      <c r="C184" s="117"/>
      <c r="D184" s="184"/>
      <c r="E184" s="185"/>
      <c r="F184" s="185"/>
      <c r="G184" s="185"/>
      <c r="H184" s="185"/>
      <c r="I184" s="185"/>
      <c r="J184" s="185"/>
      <c r="K184" s="185"/>
      <c r="L184" s="185"/>
      <c r="M184" s="185"/>
      <c r="N184" s="185"/>
      <c r="O184" s="11"/>
      <c r="P184" s="11"/>
      <c r="Q184" s="11"/>
      <c r="R184" s="11"/>
      <c r="S184" s="11"/>
      <c r="T184" s="11"/>
      <c r="U184" s="12"/>
      <c r="V184" s="46"/>
    </row>
    <row r="185" spans="1:23">
      <c r="A185" s="46"/>
      <c r="B185" s="116" t="s">
        <v>364</v>
      </c>
      <c r="C185" s="117"/>
      <c r="D185" s="184"/>
      <c r="E185" s="185"/>
      <c r="F185" s="185"/>
      <c r="G185" s="185"/>
      <c r="H185" s="185"/>
      <c r="I185" s="185"/>
      <c r="J185" s="185"/>
      <c r="K185" s="185"/>
      <c r="L185" s="185"/>
      <c r="M185" s="185"/>
      <c r="N185" s="185"/>
      <c r="O185" s="11"/>
      <c r="P185" s="11"/>
      <c r="Q185" s="11"/>
      <c r="R185" s="11"/>
      <c r="S185" s="11"/>
      <c r="T185" s="11"/>
      <c r="U185" s="12"/>
      <c r="V185" s="46"/>
    </row>
    <row r="186" spans="1:23">
      <c r="A186" s="46"/>
      <c r="B186" s="116" t="s">
        <v>362</v>
      </c>
      <c r="C186" s="117"/>
      <c r="D186" s="184"/>
      <c r="E186" s="185"/>
      <c r="F186" s="185"/>
      <c r="G186" s="185"/>
      <c r="H186" s="185"/>
      <c r="I186" s="185"/>
      <c r="J186" s="185"/>
      <c r="K186" s="185"/>
      <c r="L186" s="185"/>
      <c r="M186" s="185"/>
      <c r="N186" s="185"/>
      <c r="O186" s="11"/>
      <c r="P186" s="11"/>
      <c r="Q186" s="11"/>
      <c r="R186" s="11"/>
      <c r="S186" s="11"/>
      <c r="T186" s="11"/>
      <c r="U186" s="12"/>
      <c r="V186" s="46"/>
    </row>
    <row r="187" spans="1:23">
      <c r="A187" s="46"/>
      <c r="B187" s="188" t="s">
        <v>408</v>
      </c>
      <c r="C187" s="76"/>
      <c r="D187" s="66"/>
      <c r="E187" s="76"/>
      <c r="F187" s="11"/>
      <c r="G187" s="11"/>
      <c r="H187" s="11"/>
      <c r="I187" s="11"/>
      <c r="J187" s="11"/>
      <c r="K187" s="11"/>
      <c r="L187" s="11"/>
      <c r="M187" s="11"/>
      <c r="N187" s="11"/>
      <c r="O187" s="11"/>
      <c r="P187" s="11"/>
      <c r="Q187" s="11"/>
      <c r="R187" s="11"/>
      <c r="S187" s="11"/>
      <c r="T187" s="11"/>
      <c r="U187" s="12"/>
      <c r="V187" s="46"/>
    </row>
    <row r="188" spans="1:23">
      <c r="A188" s="46"/>
      <c r="B188" s="116"/>
      <c r="C188" s="76"/>
      <c r="D188" s="66"/>
      <c r="E188" s="76"/>
      <c r="F188" s="11"/>
      <c r="G188" s="11"/>
      <c r="H188" s="11"/>
      <c r="I188" s="11"/>
      <c r="J188" s="11"/>
      <c r="K188" s="11"/>
      <c r="L188" s="11"/>
      <c r="M188" s="11"/>
      <c r="N188" s="11"/>
      <c r="O188" s="11"/>
      <c r="P188" s="11"/>
      <c r="Q188" s="11"/>
      <c r="R188" s="11"/>
      <c r="S188" s="11"/>
      <c r="T188" s="11"/>
      <c r="U188" s="12"/>
      <c r="V188" s="46"/>
    </row>
    <row r="189" spans="1:23" ht="16.5">
      <c r="A189" s="46"/>
      <c r="B189" s="116" t="s">
        <v>405</v>
      </c>
      <c r="C189" s="76"/>
      <c r="D189" s="66"/>
      <c r="E189" s="76"/>
      <c r="F189" s="11"/>
      <c r="G189" s="11"/>
      <c r="H189" s="11"/>
      <c r="I189" s="11"/>
      <c r="J189" s="11"/>
      <c r="K189" s="11"/>
      <c r="L189" s="11"/>
      <c r="M189" s="11"/>
      <c r="N189" s="11"/>
      <c r="O189" s="11"/>
      <c r="P189" s="11"/>
      <c r="Q189" s="11"/>
      <c r="R189" s="11"/>
      <c r="S189" s="11"/>
      <c r="T189" s="11"/>
      <c r="U189" s="12"/>
      <c r="V189" s="46"/>
    </row>
    <row r="190" spans="1:23">
      <c r="A190" s="46"/>
      <c r="B190" s="116"/>
      <c r="C190" s="11"/>
      <c r="D190" s="66"/>
      <c r="E190" s="560" t="s">
        <v>425</v>
      </c>
      <c r="F190" s="449"/>
      <c r="G190" s="449"/>
      <c r="H190" s="450"/>
      <c r="I190" s="563" t="s">
        <v>426</v>
      </c>
      <c r="J190" s="444"/>
      <c r="K190" s="445"/>
      <c r="L190" s="568" t="s">
        <v>427</v>
      </c>
      <c r="M190" s="444"/>
      <c r="N190" s="444"/>
      <c r="O190" s="444"/>
      <c r="P190" s="445"/>
      <c r="Q190" s="11"/>
      <c r="R190" s="11"/>
      <c r="S190" s="11"/>
      <c r="T190" s="11"/>
      <c r="U190" s="12"/>
      <c r="V190" s="46"/>
    </row>
    <row r="191" spans="1:23" ht="15">
      <c r="A191" s="46"/>
      <c r="B191" s="116"/>
      <c r="C191" s="11"/>
      <c r="D191" s="66"/>
      <c r="E191" s="162" t="s">
        <v>431</v>
      </c>
      <c r="F191" s="125"/>
      <c r="G191" s="237">
        <f>E146</f>
        <v>82.286127763105625</v>
      </c>
      <c r="H191" s="238" t="s">
        <v>28</v>
      </c>
      <c r="I191" s="125"/>
      <c r="J191" s="239">
        <f>E152-30*LOG(296/80)</f>
        <v>82.286127763105625</v>
      </c>
      <c r="K191" s="212" t="s">
        <v>28</v>
      </c>
      <c r="L191" s="125" t="s">
        <v>432</v>
      </c>
      <c r="M191" s="125"/>
      <c r="N191" s="191"/>
      <c r="O191" s="125"/>
      <c r="P191" s="125"/>
      <c r="Q191" s="11"/>
      <c r="R191" s="11"/>
      <c r="S191" s="11"/>
      <c r="T191" s="11"/>
      <c r="U191" s="12"/>
      <c r="V191" s="46"/>
    </row>
    <row r="192" spans="1:23" ht="15">
      <c r="A192" s="46"/>
      <c r="B192" s="116"/>
      <c r="C192" s="11"/>
      <c r="D192" s="66"/>
      <c r="E192" s="162" t="s">
        <v>433</v>
      </c>
      <c r="F192" s="125"/>
      <c r="G192" s="237">
        <f>E149</f>
        <v>96.352266575647619</v>
      </c>
      <c r="H192" s="238" t="s">
        <v>28</v>
      </c>
      <c r="I192" s="125"/>
      <c r="J192" s="239">
        <f>E152-50*LOG(296/250)</f>
        <v>95.664594365770427</v>
      </c>
      <c r="K192" s="212" t="s">
        <v>28</v>
      </c>
      <c r="L192" s="125" t="s">
        <v>434</v>
      </c>
      <c r="M192" s="125"/>
      <c r="N192" s="191"/>
      <c r="O192" s="125"/>
      <c r="P192" s="125"/>
      <c r="Q192" s="11"/>
      <c r="R192" s="11"/>
      <c r="S192" s="11"/>
      <c r="T192" s="11"/>
      <c r="U192" s="12"/>
      <c r="V192" s="46"/>
    </row>
    <row r="193" spans="1:22">
      <c r="A193" s="46"/>
      <c r="B193" s="119"/>
      <c r="C193" s="18"/>
      <c r="D193" s="137"/>
      <c r="E193" s="120"/>
      <c r="F193" s="18"/>
      <c r="G193" s="18"/>
      <c r="H193" s="18"/>
      <c r="I193" s="18"/>
      <c r="J193" s="18"/>
      <c r="K193" s="18"/>
      <c r="L193" s="18"/>
      <c r="M193" s="18"/>
      <c r="N193" s="18"/>
      <c r="O193" s="18"/>
      <c r="P193" s="18"/>
      <c r="Q193" s="18"/>
      <c r="R193" s="18"/>
      <c r="S193" s="18"/>
      <c r="T193" s="18"/>
      <c r="U193" s="19"/>
      <c r="V193" s="46"/>
    </row>
    <row r="194" spans="1:22">
      <c r="A194" s="46"/>
      <c r="B194" s="20"/>
      <c r="D194" s="6"/>
      <c r="E194" s="20"/>
      <c r="V194" s="46"/>
    </row>
    <row r="195" spans="1:22">
      <c r="B195" s="20"/>
      <c r="D195" s="6"/>
      <c r="E195" s="20"/>
      <c r="V195" s="46"/>
    </row>
    <row r="196" spans="1:22">
      <c r="B196" s="20"/>
      <c r="C196" s="39"/>
      <c r="D196" s="6"/>
      <c r="E196" s="20"/>
      <c r="V196" s="46"/>
    </row>
    <row r="197" spans="1:22">
      <c r="D197" s="4"/>
    </row>
    <row r="198" spans="1:22">
      <c r="D198" s="4"/>
    </row>
    <row r="199" spans="1:22">
      <c r="D199" s="4"/>
    </row>
  </sheetData>
  <pageMargins left="0.7" right="0.7" top="0.75" bottom="0.75" header="0.3" footer="0.3"/>
  <pageSetup scale="45"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95"/>
  <sheetViews>
    <sheetView zoomScale="90" zoomScaleNormal="90" workbookViewId="0">
      <selection activeCell="H6" sqref="H6"/>
    </sheetView>
  </sheetViews>
  <sheetFormatPr defaultColWidth="9.1796875" defaultRowHeight="14.5"/>
  <cols>
    <col min="1" max="5" width="9.1796875" style="40"/>
    <col min="6" max="6" width="29.7265625" style="40" customWidth="1"/>
    <col min="7" max="7" width="36" style="40" customWidth="1"/>
    <col min="8" max="8" width="15.1796875" style="40" customWidth="1"/>
    <col min="9" max="9" width="23.179687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15" style="40" customWidth="1"/>
    <col min="16" max="16384" width="9.1796875" style="40"/>
  </cols>
  <sheetData>
    <row r="1" spans="1:15">
      <c r="A1" s="46"/>
      <c r="B1" s="7"/>
      <c r="C1" s="8"/>
      <c r="D1" s="8"/>
      <c r="E1" s="8"/>
      <c r="F1" s="8"/>
      <c r="G1" s="8"/>
      <c r="H1" s="8"/>
      <c r="I1" s="8"/>
      <c r="J1" s="8"/>
      <c r="K1" s="8"/>
      <c r="L1" s="8"/>
      <c r="M1" s="8"/>
      <c r="N1" s="8"/>
      <c r="O1" s="9"/>
    </row>
    <row r="2" spans="1:15">
      <c r="A2" s="46"/>
      <c r="B2" s="10"/>
      <c r="C2" s="11"/>
      <c r="D2" s="11"/>
      <c r="E2" s="11"/>
      <c r="F2" s="11"/>
      <c r="G2" s="11"/>
      <c r="H2" s="46" t="s">
        <v>2</v>
      </c>
      <c r="I2" s="11"/>
      <c r="J2" s="11"/>
      <c r="K2" s="11"/>
      <c r="L2" s="11"/>
      <c r="M2" s="11"/>
      <c r="N2" s="11"/>
      <c r="O2" s="12"/>
    </row>
    <row r="3" spans="1:15">
      <c r="A3" s="46"/>
      <c r="B3" s="10"/>
      <c r="C3" s="11"/>
      <c r="D3" s="11"/>
      <c r="E3" s="11"/>
      <c r="F3" s="11"/>
      <c r="G3" s="11"/>
      <c r="H3" s="46" t="s">
        <v>4</v>
      </c>
      <c r="I3" s="11"/>
      <c r="J3" s="11"/>
      <c r="K3" s="11"/>
      <c r="L3" s="11"/>
      <c r="M3" s="11"/>
      <c r="N3" s="11"/>
      <c r="O3" s="12"/>
    </row>
    <row r="4" spans="1:15">
      <c r="A4" s="46"/>
      <c r="B4" s="10"/>
      <c r="C4" s="11"/>
      <c r="D4" s="11"/>
      <c r="E4" s="11"/>
      <c r="F4" s="11"/>
      <c r="G4" s="11"/>
      <c r="H4" s="11"/>
      <c r="I4" s="11"/>
      <c r="J4" s="11"/>
      <c r="K4" s="11"/>
      <c r="L4" s="11"/>
      <c r="M4" s="11"/>
      <c r="N4" s="11"/>
      <c r="O4" s="12"/>
    </row>
    <row r="5" spans="1:15">
      <c r="A5" s="46"/>
      <c r="B5" s="10"/>
      <c r="C5" s="11"/>
      <c r="D5" s="11"/>
      <c r="E5" s="11"/>
      <c r="F5" s="11"/>
      <c r="G5" s="11"/>
      <c r="H5" s="11"/>
      <c r="I5" s="11"/>
      <c r="J5" s="11"/>
      <c r="K5" s="11"/>
      <c r="L5" s="11"/>
      <c r="M5" s="11"/>
      <c r="N5" s="11"/>
      <c r="O5" s="12"/>
    </row>
    <row r="6" spans="1:15">
      <c r="A6" s="46"/>
      <c r="B6" s="10"/>
      <c r="C6" s="13" t="s">
        <v>0</v>
      </c>
      <c r="D6" s="11"/>
      <c r="E6" s="11"/>
      <c r="F6" s="11"/>
      <c r="G6" s="734" t="s">
        <v>559</v>
      </c>
      <c r="H6" s="153" t="s">
        <v>897</v>
      </c>
      <c r="J6" s="11"/>
      <c r="K6" s="11"/>
      <c r="L6" s="14" t="s">
        <v>5</v>
      </c>
      <c r="M6" s="15">
        <f>'Program Overview'!K6</f>
        <v>7</v>
      </c>
      <c r="N6" s="16">
        <f>'Program Overview'!M6</f>
        <v>43752</v>
      </c>
      <c r="O6" s="12"/>
    </row>
    <row r="7" spans="1:15">
      <c r="A7" s="46"/>
      <c r="B7" s="10"/>
      <c r="C7" s="13" t="s">
        <v>1</v>
      </c>
      <c r="D7" s="11"/>
      <c r="E7" s="11"/>
      <c r="F7" s="11"/>
      <c r="G7" s="11"/>
      <c r="H7" s="11"/>
      <c r="I7" s="11"/>
      <c r="J7" s="11"/>
      <c r="K7" s="11"/>
      <c r="L7" s="11"/>
      <c r="M7" s="11"/>
      <c r="N7" s="11"/>
      <c r="O7" s="12"/>
    </row>
    <row r="8" spans="1:15">
      <c r="A8" s="46"/>
      <c r="B8" s="17"/>
      <c r="C8" s="18"/>
      <c r="D8" s="18"/>
      <c r="E8" s="18"/>
      <c r="F8" s="18"/>
      <c r="G8" s="18"/>
      <c r="H8" s="18"/>
      <c r="I8" s="18"/>
      <c r="J8" s="11"/>
      <c r="K8" s="11"/>
      <c r="L8" s="11"/>
      <c r="M8" s="11"/>
      <c r="N8" s="11"/>
      <c r="O8" s="12"/>
    </row>
    <row r="9" spans="1:15">
      <c r="A9" s="46"/>
      <c r="B9" s="37"/>
      <c r="C9" s="59" t="s">
        <v>197</v>
      </c>
      <c r="D9" s="59"/>
      <c r="E9" s="94">
        <v>3</v>
      </c>
      <c r="F9" s="59"/>
      <c r="G9" s="569" t="s">
        <v>200</v>
      </c>
      <c r="H9" s="59"/>
      <c r="I9" s="59"/>
      <c r="J9" s="207"/>
      <c r="K9" s="59"/>
      <c r="L9" s="59"/>
      <c r="M9" s="59" t="s">
        <v>203</v>
      </c>
      <c r="N9" s="59"/>
      <c r="O9" s="227"/>
    </row>
    <row r="10" spans="1:15">
      <c r="A10" s="46"/>
      <c r="B10" s="38"/>
      <c r="C10" s="60" t="s">
        <v>9</v>
      </c>
      <c r="D10" s="60"/>
      <c r="E10" s="95" t="s">
        <v>386</v>
      </c>
      <c r="F10" s="60"/>
      <c r="G10" s="209"/>
      <c r="H10" s="105"/>
      <c r="I10" s="60"/>
      <c r="J10" s="209"/>
      <c r="K10" s="60"/>
      <c r="L10" s="60"/>
      <c r="M10" s="60"/>
      <c r="N10" s="60"/>
      <c r="O10" s="228"/>
    </row>
    <row r="11" spans="1:15" ht="15">
      <c r="A11" s="46"/>
      <c r="B11" s="7"/>
      <c r="C11" s="8"/>
      <c r="D11" s="8"/>
      <c r="E11" s="8"/>
      <c r="F11" s="9"/>
      <c r="G11" s="67" t="s">
        <v>198</v>
      </c>
      <c r="H11" s="716"/>
      <c r="I11" s="714">
        <v>2014</v>
      </c>
      <c r="J11" s="604" t="s">
        <v>392</v>
      </c>
      <c r="K11" s="74"/>
      <c r="L11" s="73"/>
      <c r="M11" s="11"/>
      <c r="N11" s="11"/>
      <c r="O11" s="12"/>
    </row>
    <row r="12" spans="1:15">
      <c r="A12" s="46"/>
      <c r="B12" s="10"/>
      <c r="C12" s="11"/>
      <c r="D12" s="11"/>
      <c r="E12" s="11"/>
      <c r="F12" s="12"/>
      <c r="G12" s="67" t="s">
        <v>199</v>
      </c>
      <c r="H12" s="715" t="s">
        <v>390</v>
      </c>
      <c r="I12" s="712"/>
      <c r="J12" s="204" t="s">
        <v>393</v>
      </c>
      <c r="K12" s="72"/>
      <c r="L12" s="73"/>
      <c r="M12" s="11"/>
      <c r="N12" s="11"/>
      <c r="O12" s="12"/>
    </row>
    <row r="13" spans="1:15">
      <c r="A13" s="46"/>
      <c r="B13" s="10"/>
      <c r="C13" s="11"/>
      <c r="D13" s="11"/>
      <c r="E13" s="11"/>
      <c r="F13" s="12"/>
      <c r="G13" s="67" t="s">
        <v>12</v>
      </c>
      <c r="H13" s="713" t="s">
        <v>391</v>
      </c>
      <c r="I13" s="711"/>
      <c r="J13" s="75" t="s">
        <v>387</v>
      </c>
      <c r="K13" s="74"/>
      <c r="L13" s="73"/>
      <c r="M13" s="11"/>
      <c r="N13" s="11"/>
      <c r="O13" s="12"/>
    </row>
    <row r="14" spans="1:15">
      <c r="A14" s="46"/>
      <c r="B14" s="10"/>
      <c r="C14" s="11"/>
      <c r="D14" s="11"/>
      <c r="E14" s="11"/>
      <c r="F14" s="12"/>
      <c r="G14" s="572" t="s">
        <v>201</v>
      </c>
      <c r="H14" s="449"/>
      <c r="I14" s="450"/>
      <c r="J14" s="77" t="s">
        <v>388</v>
      </c>
      <c r="K14" s="66"/>
      <c r="L14" s="76"/>
      <c r="M14" s="11"/>
      <c r="N14" s="11"/>
      <c r="O14" s="12"/>
    </row>
    <row r="15" spans="1:15">
      <c r="A15" s="46"/>
      <c r="B15" s="10"/>
      <c r="C15" s="11"/>
      <c r="D15" s="11"/>
      <c r="E15" s="11"/>
      <c r="F15" s="12"/>
      <c r="G15" s="93" t="s">
        <v>29</v>
      </c>
      <c r="H15" s="405" t="s">
        <v>30</v>
      </c>
      <c r="I15" s="92" t="s">
        <v>18</v>
      </c>
      <c r="J15" s="10"/>
      <c r="K15" s="66"/>
      <c r="L15" s="76"/>
      <c r="M15" s="11"/>
      <c r="N15" s="11"/>
      <c r="O15" s="12"/>
    </row>
    <row r="16" spans="1:15">
      <c r="A16" s="46"/>
      <c r="B16" s="10"/>
      <c r="C16" s="11"/>
      <c r="D16" s="11"/>
      <c r="E16" s="11"/>
      <c r="F16" s="12"/>
      <c r="G16" s="487" t="s">
        <v>202</v>
      </c>
      <c r="H16" s="487"/>
      <c r="I16" s="488"/>
      <c r="J16" s="10"/>
      <c r="K16" s="66"/>
      <c r="L16" s="76"/>
      <c r="M16" s="11"/>
      <c r="N16" s="11"/>
      <c r="O16" s="12"/>
    </row>
    <row r="17" spans="1:15">
      <c r="A17" s="46"/>
      <c r="B17" s="10"/>
      <c r="C17" s="11"/>
      <c r="D17" s="11"/>
      <c r="E17" s="11"/>
      <c r="F17" s="11"/>
      <c r="G17" s="97" t="s">
        <v>14</v>
      </c>
      <c r="H17" s="61">
        <v>25.640999999999998</v>
      </c>
      <c r="I17" s="61" t="s">
        <v>15</v>
      </c>
      <c r="J17" s="77"/>
      <c r="K17" s="66"/>
      <c r="L17" s="76"/>
      <c r="M17" s="11"/>
      <c r="N17" s="11"/>
      <c r="O17" s="12"/>
    </row>
    <row r="18" spans="1:15">
      <c r="A18" s="46"/>
      <c r="B18" s="10"/>
      <c r="C18" s="11"/>
      <c r="D18" s="11"/>
      <c r="E18" s="11"/>
      <c r="F18" s="11"/>
      <c r="G18" s="192" t="s">
        <v>389</v>
      </c>
      <c r="H18" s="201">
        <v>24.786000000000001</v>
      </c>
      <c r="I18" s="202" t="s">
        <v>15</v>
      </c>
      <c r="J18" s="77"/>
      <c r="K18" s="66"/>
      <c r="L18" s="76"/>
      <c r="M18" s="11"/>
      <c r="N18" s="11"/>
      <c r="O18" s="12"/>
    </row>
    <row r="19" spans="1:15">
      <c r="A19" s="46"/>
      <c r="B19" s="10"/>
      <c r="C19" s="11"/>
      <c r="D19" s="11"/>
      <c r="E19" s="11"/>
      <c r="F19" s="11"/>
      <c r="G19" s="97" t="s">
        <v>21</v>
      </c>
      <c r="H19" s="61">
        <v>2</v>
      </c>
      <c r="I19" s="61"/>
      <c r="J19" s="77"/>
      <c r="K19" s="66"/>
      <c r="L19" s="76"/>
      <c r="M19" s="11"/>
      <c r="N19" s="11"/>
      <c r="O19" s="12"/>
    </row>
    <row r="20" spans="1:15">
      <c r="A20" s="46"/>
      <c r="B20" s="10"/>
      <c r="C20" s="11"/>
      <c r="D20" s="11"/>
      <c r="E20" s="11"/>
      <c r="F20" s="11"/>
      <c r="G20" s="97" t="s">
        <v>33</v>
      </c>
      <c r="H20" s="98">
        <v>6</v>
      </c>
      <c r="I20" s="61"/>
      <c r="J20" s="10"/>
      <c r="K20" s="66"/>
      <c r="L20" s="76"/>
      <c r="M20" s="11"/>
      <c r="N20" s="11"/>
      <c r="O20" s="12"/>
    </row>
    <row r="21" spans="1:15">
      <c r="A21" s="46"/>
      <c r="B21" s="17"/>
      <c r="C21" s="18"/>
      <c r="D21" s="18"/>
      <c r="E21" s="18"/>
      <c r="F21" s="18"/>
      <c r="G21" s="97" t="s">
        <v>17</v>
      </c>
      <c r="H21" s="61">
        <v>200</v>
      </c>
      <c r="I21" s="61" t="s">
        <v>15</v>
      </c>
      <c r="J21" s="17"/>
      <c r="K21" s="108"/>
      <c r="L21" s="18"/>
      <c r="M21" s="18"/>
      <c r="N21" s="18"/>
      <c r="O21" s="205"/>
    </row>
    <row r="22" spans="1:15" ht="38.25" customHeight="1">
      <c r="A22" s="46"/>
      <c r="B22" s="398" t="s">
        <v>192</v>
      </c>
      <c r="C22" s="580" t="s">
        <v>212</v>
      </c>
      <c r="D22" s="491"/>
      <c r="E22" s="401" t="s">
        <v>26</v>
      </c>
      <c r="F22" s="400" t="s">
        <v>196</v>
      </c>
      <c r="G22" s="97" t="s">
        <v>189</v>
      </c>
      <c r="H22" s="70">
        <v>271</v>
      </c>
      <c r="I22" s="70" t="s">
        <v>19</v>
      </c>
      <c r="J22" s="412"/>
      <c r="K22" s="411"/>
      <c r="L22" s="411"/>
      <c r="M22" s="411" t="s">
        <v>207</v>
      </c>
      <c r="N22" s="411"/>
      <c r="O22" s="409"/>
    </row>
    <row r="23" spans="1:15" ht="16.5">
      <c r="A23" s="46"/>
      <c r="B23" s="471"/>
      <c r="C23" s="2" t="s">
        <v>27</v>
      </c>
      <c r="D23" s="2" t="s">
        <v>28</v>
      </c>
      <c r="E23" s="490"/>
      <c r="F23" s="489"/>
      <c r="G23" s="97" t="s">
        <v>22</v>
      </c>
      <c r="H23" s="70">
        <v>2</v>
      </c>
      <c r="I23" s="99"/>
      <c r="J23" s="10" t="s">
        <v>209</v>
      </c>
      <c r="K23" s="11"/>
      <c r="L23" s="11"/>
      <c r="M23" s="11"/>
      <c r="N23" s="11"/>
      <c r="O23" s="12"/>
    </row>
    <row r="24" spans="1:15" ht="15" customHeight="1">
      <c r="A24" s="46"/>
      <c r="B24" s="23">
        <v>1</v>
      </c>
      <c r="C24" s="194">
        <v>1</v>
      </c>
      <c r="D24" s="196">
        <v>80.099999999999994</v>
      </c>
      <c r="E24" s="193">
        <f>0.00002*(10^(D24/20))</f>
        <v>0.20231589085197987</v>
      </c>
      <c r="F24" s="58"/>
      <c r="G24" s="97" t="s">
        <v>23</v>
      </c>
      <c r="H24" s="100">
        <v>7.5</v>
      </c>
      <c r="I24" s="99" t="s">
        <v>15</v>
      </c>
      <c r="J24" s="10" t="s">
        <v>208</v>
      </c>
      <c r="K24" s="11"/>
      <c r="L24" s="11"/>
      <c r="M24" s="11"/>
      <c r="N24" s="11"/>
      <c r="O24" s="12"/>
    </row>
    <row r="25" spans="1:15" ht="15" customHeight="1">
      <c r="A25" s="46"/>
      <c r="B25" s="23">
        <f>B24+1</f>
        <v>2</v>
      </c>
      <c r="C25" s="194">
        <v>1.05</v>
      </c>
      <c r="D25" s="196">
        <v>82</v>
      </c>
      <c r="E25" s="193">
        <f t="shared" ref="E25:E88" si="0">0.00002*(10^(D25/20))</f>
        <v>0.25178508235883346</v>
      </c>
      <c r="F25" s="58"/>
      <c r="G25" s="97" t="s">
        <v>24</v>
      </c>
      <c r="H25" s="100">
        <v>3.5</v>
      </c>
      <c r="I25" s="99" t="s">
        <v>15</v>
      </c>
      <c r="J25" s="10" t="s">
        <v>210</v>
      </c>
      <c r="K25" s="11"/>
      <c r="L25" s="11"/>
      <c r="M25" s="11"/>
      <c r="N25" s="11"/>
      <c r="O25" s="12"/>
    </row>
    <row r="26" spans="1:15" ht="15" customHeight="1">
      <c r="A26" s="46"/>
      <c r="B26" s="23">
        <f t="shared" ref="B26:B89" si="1">B25+1</f>
        <v>3</v>
      </c>
      <c r="C26" s="194">
        <v>1.1000000000000001</v>
      </c>
      <c r="D26" s="196">
        <v>83.9</v>
      </c>
      <c r="E26" s="193">
        <f t="shared" si="0"/>
        <v>0.3133502140216301</v>
      </c>
      <c r="F26" s="58"/>
      <c r="G26" s="97" t="s">
        <v>815</v>
      </c>
      <c r="H26" s="100">
        <v>0.05</v>
      </c>
      <c r="I26" s="99" t="s">
        <v>20</v>
      </c>
      <c r="J26" s="10"/>
      <c r="K26" s="11"/>
      <c r="L26" s="11"/>
      <c r="M26" s="11"/>
      <c r="N26" s="11"/>
      <c r="O26" s="12"/>
    </row>
    <row r="27" spans="1:15" ht="15" customHeight="1">
      <c r="A27" s="46"/>
      <c r="B27" s="23">
        <f t="shared" si="1"/>
        <v>4</v>
      </c>
      <c r="C27" s="194">
        <v>1.1499999999999999</v>
      </c>
      <c r="D27" s="196">
        <v>85</v>
      </c>
      <c r="E27" s="193">
        <f t="shared" si="0"/>
        <v>0.3556558820077847</v>
      </c>
      <c r="F27" s="58"/>
      <c r="G27" s="97" t="s">
        <v>816</v>
      </c>
      <c r="H27" s="203">
        <v>71</v>
      </c>
      <c r="I27" s="99"/>
      <c r="J27" s="17"/>
      <c r="K27" s="18"/>
      <c r="L27" s="18"/>
      <c r="M27" s="18"/>
      <c r="N27" s="18"/>
      <c r="O27" s="19"/>
    </row>
    <row r="28" spans="1:15" ht="15" customHeight="1">
      <c r="A28" s="46"/>
      <c r="B28" s="23">
        <f t="shared" si="1"/>
        <v>5</v>
      </c>
      <c r="C28" s="194">
        <v>1.2</v>
      </c>
      <c r="D28" s="196">
        <v>88</v>
      </c>
      <c r="E28" s="193">
        <f t="shared" si="0"/>
        <v>0.50237728630191725</v>
      </c>
      <c r="F28" s="58"/>
      <c r="G28" s="79"/>
      <c r="H28" s="80"/>
      <c r="I28" s="81"/>
      <c r="J28" s="46"/>
      <c r="K28" s="46"/>
      <c r="L28" s="46"/>
      <c r="M28" s="46"/>
      <c r="N28" s="46"/>
      <c r="O28" s="46"/>
    </row>
    <row r="29" spans="1:15" ht="15" customHeight="1">
      <c r="A29" s="46"/>
      <c r="B29" s="23">
        <f t="shared" si="1"/>
        <v>6</v>
      </c>
      <c r="C29" s="194">
        <v>1.25</v>
      </c>
      <c r="D29" s="196">
        <v>90.5</v>
      </c>
      <c r="E29" s="193">
        <f t="shared" si="0"/>
        <v>0.66993087831565623</v>
      </c>
      <c r="F29" s="58"/>
      <c r="G29" s="575" t="s">
        <v>204</v>
      </c>
      <c r="H29" s="449"/>
      <c r="I29" s="449"/>
      <c r="J29" s="449"/>
      <c r="K29" s="449"/>
      <c r="L29" s="449"/>
      <c r="M29" s="449"/>
      <c r="N29" s="449"/>
      <c r="O29" s="450"/>
    </row>
    <row r="30" spans="1:15" ht="15" customHeight="1">
      <c r="A30" s="46"/>
      <c r="B30" s="23">
        <f t="shared" si="1"/>
        <v>7</v>
      </c>
      <c r="C30" s="194">
        <v>1.3</v>
      </c>
      <c r="D30" s="196">
        <v>93</v>
      </c>
      <c r="E30" s="193">
        <f t="shared" si="0"/>
        <v>0.89336718430192785</v>
      </c>
      <c r="F30" s="58" t="s">
        <v>190</v>
      </c>
      <c r="G30" s="82"/>
      <c r="H30" s="82"/>
      <c r="I30" s="81"/>
      <c r="J30" s="46"/>
      <c r="K30" s="46"/>
      <c r="L30" s="46"/>
      <c r="M30" s="46"/>
      <c r="N30" s="46"/>
      <c r="O30" s="46"/>
    </row>
    <row r="31" spans="1:15" ht="15" customHeight="1">
      <c r="A31" s="46"/>
      <c r="B31" s="23">
        <f t="shared" si="1"/>
        <v>8</v>
      </c>
      <c r="C31" s="194">
        <v>1.35</v>
      </c>
      <c r="D31" s="196">
        <v>95</v>
      </c>
      <c r="E31" s="193">
        <f t="shared" si="0"/>
        <v>1.124682650380699</v>
      </c>
      <c r="F31" s="58"/>
      <c r="G31" s="82"/>
      <c r="H31" s="82"/>
      <c r="I31" s="81"/>
      <c r="J31" s="46"/>
      <c r="K31" s="46"/>
      <c r="L31" s="46"/>
      <c r="M31" s="46"/>
      <c r="N31" s="46"/>
      <c r="O31" s="46"/>
    </row>
    <row r="32" spans="1:15" ht="15" customHeight="1">
      <c r="A32" s="46"/>
      <c r="B32" s="23">
        <f t="shared" si="1"/>
        <v>9</v>
      </c>
      <c r="C32" s="194">
        <v>1.4</v>
      </c>
      <c r="D32" s="196">
        <v>94.9</v>
      </c>
      <c r="E32" s="193">
        <f t="shared" si="0"/>
        <v>1.1118085145408081</v>
      </c>
      <c r="F32" s="58"/>
      <c r="G32" s="82"/>
      <c r="H32" s="82"/>
      <c r="I32" s="81"/>
      <c r="J32" s="46"/>
      <c r="K32" s="46"/>
      <c r="L32" s="46"/>
      <c r="M32" s="46"/>
      <c r="N32" s="46"/>
      <c r="O32" s="46"/>
    </row>
    <row r="33" spans="1:15" ht="15" customHeight="1">
      <c r="A33" s="46"/>
      <c r="B33" s="23">
        <f t="shared" si="1"/>
        <v>10</v>
      </c>
      <c r="C33" s="194">
        <v>1.45</v>
      </c>
      <c r="D33" s="196">
        <v>95.3</v>
      </c>
      <c r="E33" s="193">
        <f t="shared" si="0"/>
        <v>1.1642064355417436</v>
      </c>
      <c r="F33" s="58"/>
      <c r="G33" s="82"/>
      <c r="H33" s="82"/>
      <c r="I33" s="81"/>
      <c r="J33" s="46"/>
      <c r="K33" s="46"/>
      <c r="L33" s="46"/>
      <c r="M33" s="46"/>
      <c r="N33" s="46"/>
      <c r="O33" s="46"/>
    </row>
    <row r="34" spans="1:15" ht="15" customHeight="1">
      <c r="A34" s="46"/>
      <c r="B34" s="23">
        <f t="shared" si="1"/>
        <v>11</v>
      </c>
      <c r="C34" s="194">
        <v>1.5</v>
      </c>
      <c r="D34" s="196">
        <v>95.3</v>
      </c>
      <c r="E34" s="193">
        <f t="shared" si="0"/>
        <v>1.1642064355417436</v>
      </c>
      <c r="F34" s="58"/>
      <c r="G34" s="82"/>
      <c r="H34" s="82"/>
      <c r="I34" s="81"/>
      <c r="J34" s="46"/>
      <c r="K34" s="46"/>
      <c r="L34" s="46"/>
      <c r="M34" s="46"/>
      <c r="N34" s="46"/>
      <c r="O34" s="46"/>
    </row>
    <row r="35" spans="1:15" ht="15" customHeight="1">
      <c r="A35" s="46"/>
      <c r="B35" s="23">
        <f t="shared" si="1"/>
        <v>12</v>
      </c>
      <c r="C35" s="194">
        <v>1.55</v>
      </c>
      <c r="D35" s="196">
        <v>95.3</v>
      </c>
      <c r="E35" s="193">
        <f t="shared" si="0"/>
        <v>1.1642064355417436</v>
      </c>
      <c r="F35" s="58"/>
      <c r="G35" s="82"/>
      <c r="H35" s="82"/>
      <c r="I35" s="81"/>
      <c r="J35" s="46"/>
      <c r="K35" s="46"/>
      <c r="L35" s="46"/>
      <c r="M35" s="46"/>
      <c r="N35" s="46"/>
      <c r="O35" s="46"/>
    </row>
    <row r="36" spans="1:15" ht="15" customHeight="1">
      <c r="A36" s="46"/>
      <c r="B36" s="23">
        <f t="shared" si="1"/>
        <v>13</v>
      </c>
      <c r="C36" s="194">
        <v>1.6</v>
      </c>
      <c r="D36" s="196">
        <v>96</v>
      </c>
      <c r="E36" s="193">
        <f t="shared" si="0"/>
        <v>1.2619146889603869</v>
      </c>
      <c r="F36" s="58"/>
      <c r="G36" s="82"/>
      <c r="H36" s="82"/>
      <c r="I36" s="81"/>
      <c r="J36" s="46"/>
      <c r="K36" s="46"/>
      <c r="L36" s="46"/>
      <c r="M36" s="46"/>
      <c r="N36" s="46"/>
      <c r="O36" s="46"/>
    </row>
    <row r="37" spans="1:15" ht="15" customHeight="1">
      <c r="A37" s="46"/>
      <c r="B37" s="23">
        <f t="shared" si="1"/>
        <v>14</v>
      </c>
      <c r="C37" s="194">
        <v>1.65</v>
      </c>
      <c r="D37" s="196">
        <v>96.1</v>
      </c>
      <c r="E37" s="193">
        <f t="shared" si="0"/>
        <v>1.2765269723810979</v>
      </c>
      <c r="F37" s="58"/>
      <c r="G37" s="82"/>
      <c r="H37" s="82"/>
      <c r="I37" s="81"/>
      <c r="J37" s="46"/>
      <c r="K37" s="46"/>
      <c r="L37" s="46"/>
      <c r="M37" s="46"/>
      <c r="N37" s="46"/>
      <c r="O37" s="46"/>
    </row>
    <row r="38" spans="1:15" ht="15" customHeight="1">
      <c r="A38" s="46"/>
      <c r="B38" s="23">
        <f t="shared" si="1"/>
        <v>15</v>
      </c>
      <c r="C38" s="194">
        <v>1.7</v>
      </c>
      <c r="D38" s="196">
        <v>96</v>
      </c>
      <c r="E38" s="193">
        <f t="shared" si="0"/>
        <v>1.2619146889603869</v>
      </c>
      <c r="F38" s="58"/>
      <c r="G38" s="82"/>
      <c r="H38" s="82"/>
      <c r="I38" s="81"/>
      <c r="J38" s="46"/>
      <c r="K38" s="46"/>
      <c r="L38" s="46"/>
      <c r="M38" s="46"/>
      <c r="N38" s="46"/>
      <c r="O38" s="46"/>
    </row>
    <row r="39" spans="1:15" ht="15" customHeight="1">
      <c r="A39" s="46"/>
      <c r="B39" s="23">
        <f t="shared" si="1"/>
        <v>16</v>
      </c>
      <c r="C39" s="194">
        <v>1.75</v>
      </c>
      <c r="D39" s="196">
        <v>95.5</v>
      </c>
      <c r="E39" s="193">
        <f t="shared" si="0"/>
        <v>1.1913242870580238</v>
      </c>
      <c r="F39" s="58"/>
      <c r="G39" s="82"/>
      <c r="H39" s="82"/>
      <c r="I39" s="81"/>
      <c r="J39" s="46"/>
      <c r="K39" s="46"/>
      <c r="L39" s="46"/>
      <c r="M39" s="46"/>
      <c r="N39" s="46"/>
      <c r="O39" s="46"/>
    </row>
    <row r="40" spans="1:15" ht="15" customHeight="1">
      <c r="A40" s="46"/>
      <c r="B40" s="23">
        <f t="shared" si="1"/>
        <v>17</v>
      </c>
      <c r="C40" s="194">
        <v>1.8</v>
      </c>
      <c r="D40" s="197">
        <v>95.1</v>
      </c>
      <c r="E40" s="193">
        <f t="shared" si="0"/>
        <v>1.1377058616876838</v>
      </c>
      <c r="F40" s="58"/>
      <c r="G40" s="82"/>
      <c r="H40" s="82"/>
      <c r="I40" s="81"/>
      <c r="J40" s="46"/>
      <c r="K40" s="46"/>
      <c r="L40" s="46"/>
      <c r="M40" s="46"/>
      <c r="N40" s="46"/>
      <c r="O40" s="46"/>
    </row>
    <row r="41" spans="1:15" ht="15" customHeight="1">
      <c r="A41" s="46"/>
      <c r="B41" s="23">
        <f t="shared" si="1"/>
        <v>18</v>
      </c>
      <c r="C41" s="194">
        <v>1.85</v>
      </c>
      <c r="D41" s="196">
        <v>95</v>
      </c>
      <c r="E41" s="193">
        <f t="shared" si="0"/>
        <v>1.124682650380699</v>
      </c>
      <c r="F41" s="58"/>
      <c r="G41" s="82"/>
      <c r="H41" s="82"/>
      <c r="I41" s="81"/>
      <c r="J41" s="46"/>
      <c r="K41" s="46"/>
      <c r="L41" s="46"/>
      <c r="M41" s="46"/>
      <c r="N41" s="46"/>
      <c r="O41" s="46"/>
    </row>
    <row r="42" spans="1:15" ht="15" customHeight="1">
      <c r="A42" s="46"/>
      <c r="B42" s="23">
        <f t="shared" si="1"/>
        <v>19</v>
      </c>
      <c r="C42" s="194">
        <v>1.9</v>
      </c>
      <c r="D42" s="196">
        <v>96.2</v>
      </c>
      <c r="E42" s="193">
        <f t="shared" si="0"/>
        <v>1.2913084580693137</v>
      </c>
      <c r="F42" s="58"/>
      <c r="G42" s="79"/>
      <c r="H42" s="82"/>
      <c r="I42" s="83"/>
      <c r="J42" s="46"/>
      <c r="K42" s="46"/>
      <c r="L42" s="46"/>
      <c r="M42" s="46"/>
      <c r="N42" s="46"/>
      <c r="O42" s="46"/>
    </row>
    <row r="43" spans="1:15" ht="15" customHeight="1">
      <c r="A43" s="46"/>
      <c r="B43" s="23">
        <f t="shared" si="1"/>
        <v>20</v>
      </c>
      <c r="C43" s="195">
        <v>1.95</v>
      </c>
      <c r="D43" s="198">
        <v>96.7</v>
      </c>
      <c r="E43" s="193">
        <f t="shared" si="0"/>
        <v>1.367823294562861</v>
      </c>
      <c r="F43" s="58"/>
      <c r="G43" s="82"/>
      <c r="H43" s="82"/>
      <c r="I43" s="81"/>
      <c r="J43" s="46"/>
      <c r="K43" s="46"/>
      <c r="L43" s="46"/>
      <c r="M43" s="46"/>
      <c r="N43" s="46"/>
      <c r="O43" s="46"/>
    </row>
    <row r="44" spans="1:15" ht="15" customHeight="1">
      <c r="A44" s="46"/>
      <c r="B44" s="23">
        <f t="shared" si="1"/>
        <v>21</v>
      </c>
      <c r="C44" s="194">
        <v>2</v>
      </c>
      <c r="D44" s="196">
        <v>97.2</v>
      </c>
      <c r="E44" s="193">
        <f t="shared" si="0"/>
        <v>1.4488719201499825</v>
      </c>
      <c r="F44" s="58"/>
      <c r="G44" s="82"/>
      <c r="H44" s="82"/>
      <c r="I44" s="81"/>
      <c r="J44" s="46"/>
      <c r="K44" s="46"/>
      <c r="L44" s="46"/>
      <c r="M44" s="46"/>
      <c r="N44" s="46"/>
      <c r="O44" s="46"/>
    </row>
    <row r="45" spans="1:15" ht="15" customHeight="1">
      <c r="A45" s="46"/>
      <c r="B45" s="23">
        <f t="shared" si="1"/>
        <v>22</v>
      </c>
      <c r="C45" s="194">
        <v>2.0499999999999998</v>
      </c>
      <c r="D45" s="196">
        <v>97</v>
      </c>
      <c r="E45" s="193">
        <f t="shared" si="0"/>
        <v>1.4158915687682758</v>
      </c>
      <c r="F45" s="58"/>
      <c r="G45" s="84"/>
      <c r="H45" s="82"/>
      <c r="I45" s="81"/>
      <c r="J45" s="46"/>
      <c r="K45" s="46"/>
      <c r="L45" s="46"/>
      <c r="M45" s="46"/>
      <c r="N45" s="46"/>
      <c r="O45" s="46"/>
    </row>
    <row r="46" spans="1:15" ht="15" customHeight="1">
      <c r="A46" s="46"/>
      <c r="B46" s="23">
        <f t="shared" si="1"/>
        <v>23</v>
      </c>
      <c r="C46" s="194">
        <v>2.1</v>
      </c>
      <c r="D46" s="196">
        <v>96.6</v>
      </c>
      <c r="E46" s="193">
        <f t="shared" si="0"/>
        <v>1.3521659507839663</v>
      </c>
      <c r="F46" s="89"/>
      <c r="G46" s="84"/>
      <c r="H46" s="82"/>
      <c r="I46" s="81"/>
      <c r="J46" s="46"/>
      <c r="K46" s="46"/>
      <c r="L46" s="46"/>
      <c r="M46" s="46"/>
      <c r="N46" s="46"/>
      <c r="O46" s="46"/>
    </row>
    <row r="47" spans="1:15" ht="15" customHeight="1">
      <c r="A47" s="46"/>
      <c r="B47" s="23">
        <f t="shared" si="1"/>
        <v>24</v>
      </c>
      <c r="C47" s="194">
        <v>2.15</v>
      </c>
      <c r="D47" s="196">
        <v>95.7</v>
      </c>
      <c r="E47" s="193">
        <f t="shared" si="0"/>
        <v>1.2190737944803411</v>
      </c>
      <c r="F47" s="58"/>
      <c r="G47" s="84"/>
      <c r="H47" s="82"/>
      <c r="I47" s="81"/>
      <c r="J47" s="46"/>
      <c r="K47" s="46"/>
      <c r="L47" s="46"/>
      <c r="M47" s="46"/>
      <c r="N47" s="46"/>
      <c r="O47" s="46"/>
    </row>
    <row r="48" spans="1:15" ht="15" customHeight="1">
      <c r="A48" s="46"/>
      <c r="B48" s="23">
        <f t="shared" si="1"/>
        <v>25</v>
      </c>
      <c r="C48" s="194">
        <v>2.2000000000000002</v>
      </c>
      <c r="D48" s="196">
        <v>96</v>
      </c>
      <c r="E48" s="193">
        <f t="shared" si="0"/>
        <v>1.2619146889603869</v>
      </c>
      <c r="F48" s="58"/>
      <c r="G48" s="84"/>
      <c r="H48" s="82"/>
      <c r="I48" s="81"/>
      <c r="J48" s="46"/>
      <c r="K48" s="46"/>
      <c r="L48" s="46"/>
      <c r="M48" s="46"/>
      <c r="N48" s="46"/>
      <c r="O48" s="46"/>
    </row>
    <row r="49" spans="1:15" ht="15" customHeight="1">
      <c r="A49" s="46"/>
      <c r="B49" s="23">
        <f t="shared" si="1"/>
        <v>26</v>
      </c>
      <c r="C49" s="194">
        <v>2.25</v>
      </c>
      <c r="D49" s="196">
        <v>96.8</v>
      </c>
      <c r="E49" s="193">
        <f t="shared" si="0"/>
        <v>1.3836619418378731</v>
      </c>
      <c r="F49" s="58"/>
      <c r="G49" s="84"/>
      <c r="H49" s="82"/>
      <c r="I49" s="85"/>
      <c r="J49" s="46"/>
      <c r="K49" s="46"/>
      <c r="L49" s="46"/>
      <c r="M49" s="46"/>
      <c r="N49" s="46"/>
      <c r="O49" s="46"/>
    </row>
    <row r="50" spans="1:15" ht="15" customHeight="1">
      <c r="A50" s="46"/>
      <c r="B50" s="23">
        <f t="shared" si="1"/>
        <v>27</v>
      </c>
      <c r="C50" s="194">
        <v>2.2999999999999998</v>
      </c>
      <c r="D50" s="196">
        <v>97</v>
      </c>
      <c r="E50" s="193">
        <f t="shared" si="0"/>
        <v>1.4158915687682758</v>
      </c>
      <c r="F50" s="58"/>
      <c r="G50" s="84"/>
      <c r="H50" s="82"/>
      <c r="I50" s="85"/>
      <c r="J50" s="46"/>
      <c r="K50" s="46"/>
      <c r="L50" s="46"/>
      <c r="M50" s="46"/>
      <c r="N50" s="46"/>
      <c r="O50" s="46"/>
    </row>
    <row r="51" spans="1:15" ht="15" customHeight="1">
      <c r="A51" s="46"/>
      <c r="B51" s="23">
        <f t="shared" si="1"/>
        <v>28</v>
      </c>
      <c r="C51" s="194">
        <v>2.35</v>
      </c>
      <c r="D51" s="196">
        <v>96.8</v>
      </c>
      <c r="E51" s="193">
        <f t="shared" si="0"/>
        <v>1.3836619418378731</v>
      </c>
      <c r="F51" s="58"/>
      <c r="G51" s="84"/>
      <c r="H51" s="82"/>
      <c r="I51" s="86"/>
      <c r="J51" s="46"/>
      <c r="K51" s="46"/>
      <c r="L51" s="46"/>
      <c r="M51" s="46"/>
      <c r="N51" s="46"/>
      <c r="O51" s="46"/>
    </row>
    <row r="52" spans="1:15" ht="15" customHeight="1">
      <c r="A52" s="46"/>
      <c r="B52" s="23">
        <f t="shared" si="1"/>
        <v>29</v>
      </c>
      <c r="C52" s="194">
        <v>2.4</v>
      </c>
      <c r="D52" s="196">
        <v>96.1</v>
      </c>
      <c r="E52" s="193">
        <f t="shared" si="0"/>
        <v>1.2765269723810979</v>
      </c>
      <c r="F52" s="58"/>
      <c r="G52" s="84"/>
      <c r="H52" s="82"/>
      <c r="I52" s="86"/>
      <c r="J52" s="46"/>
      <c r="K52" s="46"/>
      <c r="L52" s="46"/>
      <c r="M52" s="46"/>
      <c r="N52" s="46"/>
      <c r="O52" s="46"/>
    </row>
    <row r="53" spans="1:15" ht="15" customHeight="1">
      <c r="A53" s="46"/>
      <c r="B53" s="23">
        <f t="shared" si="1"/>
        <v>30</v>
      </c>
      <c r="C53" s="194">
        <v>2.4500000000000002</v>
      </c>
      <c r="D53" s="196">
        <v>95.5</v>
      </c>
      <c r="E53" s="193">
        <f t="shared" si="0"/>
        <v>1.1913242870580238</v>
      </c>
      <c r="F53" s="58"/>
      <c r="G53" s="84"/>
      <c r="H53" s="82"/>
      <c r="I53" s="86"/>
      <c r="J53" s="46"/>
      <c r="K53" s="46"/>
      <c r="L53" s="46"/>
      <c r="M53" s="46"/>
      <c r="N53" s="46"/>
      <c r="O53" s="46"/>
    </row>
    <row r="54" spans="1:15" ht="15" customHeight="1">
      <c r="A54" s="46"/>
      <c r="B54" s="23">
        <f t="shared" si="1"/>
        <v>31</v>
      </c>
      <c r="C54" s="194">
        <v>2.5</v>
      </c>
      <c r="D54" s="196">
        <v>95.4</v>
      </c>
      <c r="E54" s="193">
        <f t="shared" si="0"/>
        <v>1.1776873107111809</v>
      </c>
      <c r="F54" s="58"/>
      <c r="G54" s="84"/>
      <c r="H54" s="82"/>
      <c r="I54" s="85"/>
      <c r="J54" s="46"/>
      <c r="K54" s="46"/>
      <c r="L54" s="46"/>
      <c r="M54" s="46"/>
      <c r="N54" s="46"/>
      <c r="O54" s="46"/>
    </row>
    <row r="55" spans="1:15" ht="15" customHeight="1">
      <c r="A55" s="46"/>
      <c r="B55" s="23">
        <f t="shared" si="1"/>
        <v>32</v>
      </c>
      <c r="C55" s="194">
        <v>2.5499999999999998</v>
      </c>
      <c r="D55" s="197">
        <v>96.2</v>
      </c>
      <c r="E55" s="193">
        <f t="shared" si="0"/>
        <v>1.2913084580693137</v>
      </c>
      <c r="F55" s="58"/>
      <c r="G55" s="84"/>
      <c r="H55" s="82"/>
      <c r="I55" s="85"/>
      <c r="J55" s="46"/>
      <c r="K55" s="46"/>
      <c r="L55" s="46"/>
      <c r="M55" s="46"/>
      <c r="N55" s="46"/>
      <c r="O55" s="46"/>
    </row>
    <row r="56" spans="1:15" ht="15" customHeight="1">
      <c r="A56" s="46"/>
      <c r="B56" s="23">
        <f t="shared" si="1"/>
        <v>33</v>
      </c>
      <c r="C56" s="194">
        <v>2.6</v>
      </c>
      <c r="D56" s="196">
        <v>96.9</v>
      </c>
      <c r="E56" s="193">
        <f t="shared" si="0"/>
        <v>1.3996839920045494</v>
      </c>
      <c r="F56" s="58"/>
      <c r="G56" s="79"/>
      <c r="H56" s="82"/>
      <c r="I56" s="85"/>
      <c r="J56" s="46"/>
      <c r="K56" s="46"/>
      <c r="L56" s="46"/>
      <c r="M56" s="46"/>
      <c r="N56" s="46"/>
      <c r="O56" s="46"/>
    </row>
    <row r="57" spans="1:15" ht="15" customHeight="1">
      <c r="A57" s="46"/>
      <c r="B57" s="23">
        <f t="shared" si="1"/>
        <v>34</v>
      </c>
      <c r="C57" s="194">
        <v>2.65</v>
      </c>
      <c r="D57" s="196">
        <v>97</v>
      </c>
      <c r="E57" s="193">
        <f t="shared" si="0"/>
        <v>1.4158915687682758</v>
      </c>
      <c r="F57" s="58"/>
      <c r="G57" s="82"/>
      <c r="H57" s="82"/>
      <c r="I57" s="85"/>
      <c r="J57" s="46"/>
      <c r="K57" s="46"/>
      <c r="L57" s="46"/>
      <c r="M57" s="46"/>
      <c r="N57" s="46"/>
      <c r="O57" s="46"/>
    </row>
    <row r="58" spans="1:15" ht="15" customHeight="1">
      <c r="A58" s="46"/>
      <c r="B58" s="23">
        <f t="shared" si="1"/>
        <v>35</v>
      </c>
      <c r="C58" s="194">
        <v>2.7</v>
      </c>
      <c r="D58" s="197">
        <v>96.6</v>
      </c>
      <c r="E58" s="193">
        <f t="shared" si="0"/>
        <v>1.3521659507839663</v>
      </c>
      <c r="F58" s="58"/>
      <c r="G58" s="82"/>
      <c r="H58" s="82"/>
      <c r="I58" s="85"/>
      <c r="J58" s="46"/>
      <c r="K58" s="46"/>
      <c r="L58" s="46"/>
      <c r="M58" s="46"/>
      <c r="N58" s="46"/>
      <c r="O58" s="46"/>
    </row>
    <row r="59" spans="1:15" ht="15" customHeight="1">
      <c r="A59" s="46"/>
      <c r="B59" s="23">
        <f t="shared" si="1"/>
        <v>36</v>
      </c>
      <c r="C59" s="194">
        <v>2.75</v>
      </c>
      <c r="D59" s="196">
        <v>95.9</v>
      </c>
      <c r="E59" s="193">
        <f t="shared" si="0"/>
        <v>1.2474696709648392</v>
      </c>
      <c r="F59" s="58"/>
      <c r="G59" s="79"/>
      <c r="H59" s="82"/>
      <c r="I59" s="85"/>
      <c r="J59" s="46"/>
      <c r="K59" s="46"/>
      <c r="L59" s="46"/>
      <c r="M59" s="46"/>
      <c r="N59" s="46"/>
      <c r="O59" s="46"/>
    </row>
    <row r="60" spans="1:15" ht="15" customHeight="1">
      <c r="A60" s="46"/>
      <c r="B60" s="23">
        <f t="shared" si="1"/>
        <v>37</v>
      </c>
      <c r="C60" s="194">
        <v>2.8</v>
      </c>
      <c r="D60" s="196">
        <v>96</v>
      </c>
      <c r="E60" s="193">
        <f t="shared" si="0"/>
        <v>1.2619146889603869</v>
      </c>
      <c r="F60" s="58"/>
      <c r="G60" s="87"/>
      <c r="H60" s="82"/>
      <c r="I60" s="85"/>
      <c r="J60" s="46"/>
      <c r="K60" s="46"/>
      <c r="L60" s="46"/>
      <c r="M60" s="46"/>
      <c r="N60" s="46"/>
      <c r="O60" s="46"/>
    </row>
    <row r="61" spans="1:15" ht="15" customHeight="1">
      <c r="A61" s="46"/>
      <c r="B61" s="23">
        <f t="shared" si="1"/>
        <v>38</v>
      </c>
      <c r="C61" s="194">
        <v>2.85</v>
      </c>
      <c r="D61" s="196">
        <v>96.2</v>
      </c>
      <c r="E61" s="193">
        <f t="shared" si="0"/>
        <v>1.2913084580693137</v>
      </c>
      <c r="F61" s="58"/>
      <c r="G61" s="84"/>
      <c r="H61" s="82"/>
      <c r="I61" s="85"/>
      <c r="J61" s="46"/>
      <c r="K61" s="46"/>
      <c r="L61" s="46"/>
      <c r="M61" s="46"/>
      <c r="N61" s="46"/>
      <c r="O61" s="46"/>
    </row>
    <row r="62" spans="1:15" ht="15" customHeight="1">
      <c r="A62" s="46"/>
      <c r="B62" s="23">
        <f t="shared" si="1"/>
        <v>39</v>
      </c>
      <c r="C62" s="195">
        <v>2.9</v>
      </c>
      <c r="D62" s="198">
        <v>96.1</v>
      </c>
      <c r="E62" s="193">
        <f t="shared" si="0"/>
        <v>1.2765269723810979</v>
      </c>
      <c r="F62" s="58"/>
      <c r="G62" s="82"/>
      <c r="H62" s="82"/>
      <c r="I62" s="85"/>
      <c r="J62" s="46"/>
      <c r="K62" s="46"/>
      <c r="L62" s="46"/>
      <c r="M62" s="46"/>
      <c r="N62" s="46"/>
      <c r="O62" s="46"/>
    </row>
    <row r="63" spans="1:15" ht="15" customHeight="1">
      <c r="A63" s="46"/>
      <c r="B63" s="23">
        <f t="shared" si="1"/>
        <v>40</v>
      </c>
      <c r="C63" s="194">
        <v>2.95</v>
      </c>
      <c r="D63" s="196">
        <v>96.4</v>
      </c>
      <c r="E63" s="193">
        <f t="shared" si="0"/>
        <v>1.3213868960151947</v>
      </c>
      <c r="F63" s="58"/>
      <c r="G63" s="82"/>
      <c r="H63" s="82"/>
      <c r="I63" s="85"/>
      <c r="J63" s="46"/>
      <c r="K63" s="46"/>
      <c r="L63" s="46"/>
      <c r="M63" s="46"/>
      <c r="N63" s="46"/>
      <c r="O63" s="46"/>
    </row>
    <row r="64" spans="1:15" ht="15" customHeight="1">
      <c r="A64" s="46"/>
      <c r="B64" s="23">
        <f t="shared" si="1"/>
        <v>41</v>
      </c>
      <c r="C64" s="194">
        <v>3</v>
      </c>
      <c r="D64" s="196">
        <v>96.5</v>
      </c>
      <c r="E64" s="193">
        <f t="shared" si="0"/>
        <v>1.3366878351372318</v>
      </c>
      <c r="F64" s="58"/>
      <c r="G64" s="79"/>
      <c r="H64" s="82"/>
      <c r="I64" s="76"/>
      <c r="J64" s="46"/>
      <c r="K64" s="46"/>
      <c r="L64" s="46"/>
      <c r="M64" s="46"/>
      <c r="N64" s="46"/>
      <c r="O64" s="46"/>
    </row>
    <row r="65" spans="1:15" ht="15" customHeight="1">
      <c r="A65" s="46"/>
      <c r="B65" s="23">
        <f t="shared" si="1"/>
        <v>42</v>
      </c>
      <c r="C65" s="194">
        <v>3.05</v>
      </c>
      <c r="D65" s="196">
        <v>96.9</v>
      </c>
      <c r="E65" s="193">
        <f t="shared" si="0"/>
        <v>1.3996839920045494</v>
      </c>
      <c r="F65" s="58"/>
      <c r="G65" s="79"/>
      <c r="H65" s="82"/>
      <c r="I65" s="76"/>
      <c r="J65" s="46"/>
      <c r="K65" s="46"/>
      <c r="L65" s="46"/>
      <c r="M65" s="46"/>
      <c r="N65" s="46"/>
      <c r="O65" s="46"/>
    </row>
    <row r="66" spans="1:15" ht="15" customHeight="1">
      <c r="A66" s="46"/>
      <c r="B66" s="23">
        <f t="shared" si="1"/>
        <v>43</v>
      </c>
      <c r="C66" s="194">
        <v>3.1</v>
      </c>
      <c r="D66" s="196">
        <v>95.2</v>
      </c>
      <c r="E66" s="193">
        <f t="shared" si="0"/>
        <v>1.1508798746743147</v>
      </c>
      <c r="F66" s="58"/>
      <c r="G66" s="79"/>
      <c r="H66" s="82"/>
      <c r="I66" s="76" t="s">
        <v>190</v>
      </c>
      <c r="J66" s="46"/>
      <c r="K66" s="46"/>
      <c r="L66" s="46"/>
      <c r="M66" s="46"/>
      <c r="N66" s="46"/>
      <c r="O66" s="46"/>
    </row>
    <row r="67" spans="1:15" ht="15" customHeight="1">
      <c r="A67" s="46"/>
      <c r="B67" s="23">
        <f t="shared" si="1"/>
        <v>44</v>
      </c>
      <c r="C67" s="194">
        <v>3.15</v>
      </c>
      <c r="D67" s="196">
        <v>95.2</v>
      </c>
      <c r="E67" s="193">
        <f t="shared" si="0"/>
        <v>1.1508798746743147</v>
      </c>
      <c r="F67" s="58"/>
      <c r="G67" s="79"/>
      <c r="H67" s="82"/>
      <c r="I67" s="76"/>
      <c r="J67" s="46"/>
      <c r="K67" s="46"/>
      <c r="L67" s="46"/>
      <c r="M67" s="46"/>
      <c r="N67" s="46"/>
      <c r="O67" s="46"/>
    </row>
    <row r="68" spans="1:15" ht="15" customHeight="1">
      <c r="A68" s="46"/>
      <c r="B68" s="23">
        <f t="shared" si="1"/>
        <v>45</v>
      </c>
      <c r="C68" s="194">
        <v>3.2</v>
      </c>
      <c r="D68" s="196">
        <v>95.3</v>
      </c>
      <c r="E68" s="193">
        <f t="shared" si="0"/>
        <v>1.1642064355417436</v>
      </c>
      <c r="F68" s="58"/>
      <c r="G68" s="79"/>
      <c r="H68" s="82"/>
      <c r="I68" s="76"/>
      <c r="J68" s="46"/>
      <c r="K68" s="46"/>
      <c r="L68" s="46"/>
      <c r="M68" s="46"/>
      <c r="N68" s="46"/>
      <c r="O68" s="46"/>
    </row>
    <row r="69" spans="1:15" ht="15" customHeight="1">
      <c r="A69" s="46"/>
      <c r="B69" s="23">
        <f t="shared" si="1"/>
        <v>46</v>
      </c>
      <c r="C69" s="194">
        <v>3.25</v>
      </c>
      <c r="D69" s="196">
        <v>96.1</v>
      </c>
      <c r="E69" s="193">
        <f t="shared" si="0"/>
        <v>1.2765269723810979</v>
      </c>
      <c r="F69" s="58"/>
      <c r="G69" s="79"/>
      <c r="H69" s="82"/>
      <c r="I69" s="76"/>
      <c r="J69" s="46"/>
      <c r="K69" s="46"/>
      <c r="L69" s="46"/>
      <c r="M69" s="46"/>
      <c r="N69" s="46"/>
      <c r="O69" s="46"/>
    </row>
    <row r="70" spans="1:15" ht="15" customHeight="1">
      <c r="A70" s="46"/>
      <c r="B70" s="23">
        <f t="shared" si="1"/>
        <v>47</v>
      </c>
      <c r="C70" s="194">
        <v>3.3</v>
      </c>
      <c r="D70" s="196">
        <v>96.5</v>
      </c>
      <c r="E70" s="193">
        <f t="shared" si="0"/>
        <v>1.3366878351372318</v>
      </c>
      <c r="F70" s="58"/>
      <c r="G70" s="79"/>
      <c r="H70" s="82"/>
      <c r="I70" s="76"/>
      <c r="J70" s="46"/>
      <c r="K70" s="46"/>
      <c r="L70" s="46"/>
      <c r="M70" s="46"/>
      <c r="N70" s="46"/>
      <c r="O70" s="46"/>
    </row>
    <row r="71" spans="1:15" ht="15" customHeight="1">
      <c r="A71" s="46"/>
      <c r="B71" s="23">
        <f t="shared" si="1"/>
        <v>48</v>
      </c>
      <c r="C71" s="194">
        <v>3.35</v>
      </c>
      <c r="D71" s="196">
        <v>96.5</v>
      </c>
      <c r="E71" s="193">
        <f t="shared" si="0"/>
        <v>1.3366878351372318</v>
      </c>
      <c r="F71" s="58"/>
      <c r="G71" s="79"/>
      <c r="H71" s="82"/>
      <c r="I71" s="76"/>
      <c r="J71" s="46"/>
      <c r="K71" s="46"/>
      <c r="L71" s="46"/>
      <c r="M71" s="46"/>
      <c r="N71" s="46"/>
      <c r="O71" s="46"/>
    </row>
    <row r="72" spans="1:15" ht="15" customHeight="1">
      <c r="A72" s="46"/>
      <c r="B72" s="23">
        <f t="shared" si="1"/>
        <v>49</v>
      </c>
      <c r="C72" s="194">
        <v>3.4</v>
      </c>
      <c r="D72" s="196">
        <v>95.8</v>
      </c>
      <c r="E72" s="193">
        <f t="shared" si="0"/>
        <v>1.2331900037229651</v>
      </c>
      <c r="F72" s="58"/>
      <c r="G72" s="46"/>
      <c r="H72" s="46"/>
      <c r="I72" s="46"/>
      <c r="J72" s="46"/>
      <c r="K72" s="46"/>
      <c r="L72" s="46"/>
      <c r="M72" s="46"/>
      <c r="N72" s="46"/>
      <c r="O72" s="46"/>
    </row>
    <row r="73" spans="1:15" ht="15" customHeight="1">
      <c r="A73" s="46"/>
      <c r="B73" s="23">
        <f t="shared" si="1"/>
        <v>50</v>
      </c>
      <c r="C73" s="194">
        <v>3.45</v>
      </c>
      <c r="D73" s="196">
        <v>95</v>
      </c>
      <c r="E73" s="193">
        <f t="shared" si="0"/>
        <v>1.124682650380699</v>
      </c>
      <c r="F73" s="58"/>
      <c r="G73" s="46"/>
      <c r="H73" s="46"/>
      <c r="I73" s="46"/>
      <c r="J73" s="46"/>
      <c r="K73" s="46"/>
      <c r="L73" s="46"/>
      <c r="M73" s="46"/>
      <c r="N73" s="46"/>
      <c r="O73" s="46"/>
    </row>
    <row r="74" spans="1:15" ht="15" customHeight="1">
      <c r="A74" s="46"/>
      <c r="B74" s="23">
        <f t="shared" si="1"/>
        <v>51</v>
      </c>
      <c r="C74" s="194">
        <v>3.5</v>
      </c>
      <c r="D74" s="196">
        <v>95</v>
      </c>
      <c r="E74" s="193">
        <f t="shared" si="0"/>
        <v>1.124682650380699</v>
      </c>
      <c r="F74" s="58"/>
      <c r="G74" s="46"/>
      <c r="H74" s="46"/>
      <c r="I74" s="46"/>
      <c r="J74" s="46"/>
      <c r="K74" s="46"/>
      <c r="L74" s="46"/>
      <c r="M74" s="46"/>
      <c r="N74" s="46"/>
      <c r="O74" s="46"/>
    </row>
    <row r="75" spans="1:15" ht="15" customHeight="1">
      <c r="A75" s="46"/>
      <c r="B75" s="23">
        <f t="shared" si="1"/>
        <v>52</v>
      </c>
      <c r="C75" s="194">
        <v>3.55</v>
      </c>
      <c r="D75" s="196">
        <v>95.2</v>
      </c>
      <c r="E75" s="193">
        <f t="shared" si="0"/>
        <v>1.1508798746743147</v>
      </c>
      <c r="F75" s="58"/>
      <c r="G75" s="46"/>
      <c r="H75" s="46"/>
      <c r="I75" s="46"/>
      <c r="J75" s="46"/>
      <c r="K75" s="46"/>
      <c r="L75" s="46"/>
      <c r="M75" s="46"/>
      <c r="N75" s="46"/>
      <c r="O75" s="46"/>
    </row>
    <row r="76" spans="1:15" ht="15" customHeight="1">
      <c r="A76" s="46"/>
      <c r="B76" s="23">
        <f t="shared" si="1"/>
        <v>53</v>
      </c>
      <c r="C76" s="194">
        <v>3.6</v>
      </c>
      <c r="D76" s="196">
        <v>95.6</v>
      </c>
      <c r="E76" s="193">
        <f t="shared" si="0"/>
        <v>1.205119172148714</v>
      </c>
      <c r="F76" s="58"/>
      <c r="G76" s="46"/>
      <c r="H76" s="46"/>
      <c r="I76" s="46"/>
      <c r="J76" s="46"/>
      <c r="K76" s="46"/>
      <c r="L76" s="46"/>
      <c r="M76" s="46"/>
      <c r="N76" s="46"/>
      <c r="O76" s="46"/>
    </row>
    <row r="77" spans="1:15" ht="15" customHeight="1">
      <c r="A77" s="46"/>
      <c r="B77" s="23">
        <f t="shared" si="1"/>
        <v>54</v>
      </c>
      <c r="C77" s="194">
        <v>3.65</v>
      </c>
      <c r="D77" s="196">
        <v>95.8</v>
      </c>
      <c r="E77" s="193">
        <f t="shared" si="0"/>
        <v>1.2331900037229651</v>
      </c>
      <c r="F77" s="58"/>
      <c r="G77" s="46"/>
      <c r="H77" s="46"/>
      <c r="I77" s="46"/>
      <c r="J77" s="46"/>
      <c r="K77" s="46"/>
      <c r="L77" s="46"/>
      <c r="M77" s="46"/>
      <c r="N77" s="46"/>
      <c r="O77" s="46"/>
    </row>
    <row r="78" spans="1:15" ht="15" customHeight="1">
      <c r="A78" s="46"/>
      <c r="B78" s="23">
        <f t="shared" si="1"/>
        <v>55</v>
      </c>
      <c r="C78" s="194">
        <v>3.7</v>
      </c>
      <c r="D78" s="196">
        <v>95.6</v>
      </c>
      <c r="E78" s="193">
        <f t="shared" si="0"/>
        <v>1.205119172148714</v>
      </c>
      <c r="F78" s="58"/>
      <c r="G78" s="46"/>
      <c r="H78" s="46"/>
      <c r="I78" s="46"/>
      <c r="J78" s="46"/>
      <c r="K78" s="46"/>
      <c r="L78" s="46"/>
      <c r="M78" s="46"/>
      <c r="N78" s="46"/>
      <c r="O78" s="46"/>
    </row>
    <row r="79" spans="1:15" ht="15" customHeight="1">
      <c r="A79" s="46"/>
      <c r="B79" s="23">
        <f t="shared" si="1"/>
        <v>56</v>
      </c>
      <c r="C79" s="194">
        <v>3.75</v>
      </c>
      <c r="D79" s="196">
        <v>94.8</v>
      </c>
      <c r="E79" s="193">
        <f t="shared" si="0"/>
        <v>1.0990817477152501</v>
      </c>
      <c r="F79" s="58"/>
      <c r="G79" s="46"/>
      <c r="H79" s="46"/>
      <c r="I79" s="46"/>
      <c r="J79" s="46"/>
      <c r="K79" s="46"/>
      <c r="L79" s="46"/>
      <c r="M79" s="46"/>
      <c r="N79" s="46"/>
      <c r="O79" s="46"/>
    </row>
    <row r="80" spans="1:15" ht="15" customHeight="1">
      <c r="A80" s="46"/>
      <c r="B80" s="23">
        <f t="shared" si="1"/>
        <v>57</v>
      </c>
      <c r="C80" s="194">
        <v>3.8</v>
      </c>
      <c r="D80" s="196">
        <v>94.8</v>
      </c>
      <c r="E80" s="193">
        <f t="shared" si="0"/>
        <v>1.0990817477152501</v>
      </c>
      <c r="F80" s="58"/>
      <c r="G80" s="46"/>
      <c r="H80" s="46"/>
      <c r="I80" s="46"/>
      <c r="J80" s="46"/>
      <c r="K80" s="46"/>
      <c r="L80" s="46"/>
      <c r="M80" s="46"/>
      <c r="N80" s="46"/>
      <c r="O80" s="46"/>
    </row>
    <row r="81" spans="1:15" ht="15" customHeight="1">
      <c r="A81" s="46"/>
      <c r="B81" s="23">
        <f t="shared" si="1"/>
        <v>58</v>
      </c>
      <c r="C81" s="194">
        <v>3.85</v>
      </c>
      <c r="D81" s="196">
        <v>94.7</v>
      </c>
      <c r="E81" s="193">
        <f t="shared" si="0"/>
        <v>1.0865006629848677</v>
      </c>
      <c r="F81" s="58"/>
      <c r="G81" s="46"/>
      <c r="H81" s="46"/>
      <c r="I81" s="46"/>
      <c r="J81" s="46"/>
      <c r="K81" s="46"/>
      <c r="L81" s="46"/>
      <c r="M81" s="46"/>
      <c r="N81" s="46"/>
      <c r="O81" s="46"/>
    </row>
    <row r="82" spans="1:15" ht="15" customHeight="1">
      <c r="A82" s="46"/>
      <c r="B82" s="23">
        <f t="shared" si="1"/>
        <v>59</v>
      </c>
      <c r="C82" s="194">
        <v>3.9</v>
      </c>
      <c r="D82" s="196">
        <v>95.9</v>
      </c>
      <c r="E82" s="193">
        <f t="shared" si="0"/>
        <v>1.2474696709648392</v>
      </c>
      <c r="F82" s="58"/>
      <c r="G82" s="46"/>
      <c r="H82" s="46"/>
      <c r="I82" s="46"/>
      <c r="J82" s="46"/>
      <c r="K82" s="46"/>
      <c r="L82" s="46"/>
      <c r="M82" s="46"/>
      <c r="N82" s="46"/>
      <c r="O82" s="46"/>
    </row>
    <row r="83" spans="1:15">
      <c r="A83" s="46"/>
      <c r="B83" s="23">
        <f t="shared" si="1"/>
        <v>60</v>
      </c>
      <c r="C83" s="194">
        <v>3.95</v>
      </c>
      <c r="D83" s="196">
        <v>95.5</v>
      </c>
      <c r="E83" s="193">
        <f t="shared" si="0"/>
        <v>1.1913242870580238</v>
      </c>
      <c r="F83" s="46"/>
      <c r="G83" s="46"/>
      <c r="H83" s="88"/>
      <c r="I83" s="11"/>
      <c r="J83" s="46"/>
      <c r="K83" s="46"/>
      <c r="L83" s="46"/>
      <c r="M83" s="46"/>
      <c r="N83" s="46"/>
      <c r="O83" s="46"/>
    </row>
    <row r="84" spans="1:15">
      <c r="A84" s="46"/>
      <c r="B84" s="23">
        <f t="shared" si="1"/>
        <v>61</v>
      </c>
      <c r="C84" s="194">
        <v>4</v>
      </c>
      <c r="D84" s="196">
        <v>94.6</v>
      </c>
      <c r="E84" s="193">
        <f t="shared" si="0"/>
        <v>1.0740635927405047</v>
      </c>
      <c r="F84" s="46"/>
      <c r="G84" s="46"/>
      <c r="H84" s="88"/>
      <c r="I84" s="11"/>
      <c r="J84" s="46"/>
      <c r="K84" s="46"/>
      <c r="L84" s="46"/>
      <c r="M84" s="46"/>
      <c r="N84" s="46"/>
      <c r="O84" s="46"/>
    </row>
    <row r="85" spans="1:15">
      <c r="A85" s="46"/>
      <c r="B85" s="178">
        <f t="shared" si="1"/>
        <v>62</v>
      </c>
      <c r="C85" s="194">
        <v>4.05</v>
      </c>
      <c r="D85" s="196">
        <v>93.2</v>
      </c>
      <c r="E85" s="193">
        <f t="shared" si="0"/>
        <v>0.9141763792297517</v>
      </c>
      <c r="F85" s="46"/>
      <c r="G85" s="46"/>
      <c r="H85" s="46"/>
      <c r="I85" s="46"/>
      <c r="J85" s="46"/>
      <c r="K85" s="46"/>
      <c r="L85" s="46"/>
      <c r="M85" s="46"/>
      <c r="N85" s="46"/>
      <c r="O85" s="46"/>
    </row>
    <row r="86" spans="1:15">
      <c r="A86" s="46"/>
      <c r="B86" s="178">
        <f t="shared" si="1"/>
        <v>63</v>
      </c>
      <c r="C86" s="194">
        <v>4.0999999999999996</v>
      </c>
      <c r="D86" s="196">
        <v>91.5</v>
      </c>
      <c r="E86" s="193">
        <f t="shared" si="0"/>
        <v>0.75167480857688895</v>
      </c>
      <c r="F86" s="46"/>
      <c r="G86" s="46"/>
      <c r="H86" s="46"/>
      <c r="I86" s="46"/>
      <c r="J86" s="46"/>
      <c r="K86" s="46"/>
      <c r="L86" s="46"/>
      <c r="M86" s="46"/>
      <c r="N86" s="46"/>
      <c r="O86" s="46"/>
    </row>
    <row r="87" spans="1:15">
      <c r="A87" s="46"/>
      <c r="B87" s="178">
        <f t="shared" si="1"/>
        <v>64</v>
      </c>
      <c r="C87" s="194">
        <v>4.1500000000000004</v>
      </c>
      <c r="D87" s="196">
        <v>89.8</v>
      </c>
      <c r="E87" s="193">
        <f t="shared" si="0"/>
        <v>0.61805908650271912</v>
      </c>
      <c r="F87" s="46"/>
      <c r="G87" s="46"/>
      <c r="H87" s="46"/>
      <c r="I87" s="46"/>
      <c r="J87" s="46"/>
      <c r="K87" s="46"/>
      <c r="L87" s="46"/>
      <c r="M87" s="46"/>
      <c r="N87" s="46"/>
      <c r="O87" s="46"/>
    </row>
    <row r="88" spans="1:15">
      <c r="A88" s="46"/>
      <c r="B88" s="178">
        <f t="shared" si="1"/>
        <v>65</v>
      </c>
      <c r="C88" s="194">
        <v>4.2</v>
      </c>
      <c r="D88" s="196">
        <v>88</v>
      </c>
      <c r="E88" s="193">
        <f t="shared" si="0"/>
        <v>0.50237728630191725</v>
      </c>
      <c r="F88" s="46"/>
      <c r="G88" s="46"/>
      <c r="H88" s="46"/>
      <c r="I88" s="46"/>
      <c r="J88" s="46"/>
      <c r="K88" s="46"/>
      <c r="L88" s="46"/>
      <c r="M88" s="46"/>
      <c r="N88" s="46"/>
      <c r="O88" s="46"/>
    </row>
    <row r="89" spans="1:15">
      <c r="A89" s="46"/>
      <c r="B89" s="178">
        <f t="shared" si="1"/>
        <v>66</v>
      </c>
      <c r="C89" s="194">
        <v>4.25</v>
      </c>
      <c r="D89" s="196">
        <v>86</v>
      </c>
      <c r="E89" s="193">
        <f t="shared" ref="E89:E94" si="2">0.00002*(10^(D89/20))</f>
        <v>0.39905246299377589</v>
      </c>
      <c r="F89" s="46"/>
      <c r="G89" s="46"/>
      <c r="H89" s="46"/>
      <c r="I89" s="46"/>
      <c r="J89" s="46"/>
      <c r="K89" s="46"/>
      <c r="L89" s="46"/>
      <c r="M89" s="46"/>
      <c r="N89" s="46"/>
      <c r="O89" s="46"/>
    </row>
    <row r="90" spans="1:15">
      <c r="A90" s="46"/>
      <c r="B90" s="178">
        <f t="shared" ref="B90:B94" si="3">B89+1</f>
        <v>67</v>
      </c>
      <c r="C90" s="194">
        <v>4.3</v>
      </c>
      <c r="D90" s="196">
        <v>84.9</v>
      </c>
      <c r="E90" s="193">
        <f t="shared" si="2"/>
        <v>0.35158472279173864</v>
      </c>
      <c r="F90" s="46"/>
      <c r="G90" s="46"/>
      <c r="H90" s="46"/>
      <c r="I90" s="46"/>
      <c r="J90" s="46"/>
      <c r="K90" s="46"/>
      <c r="L90" s="46"/>
      <c r="M90" s="46"/>
      <c r="N90" s="46"/>
      <c r="O90" s="46"/>
    </row>
    <row r="91" spans="1:15">
      <c r="A91" s="46"/>
      <c r="B91" s="178">
        <f t="shared" si="3"/>
        <v>68</v>
      </c>
      <c r="C91" s="194">
        <v>4.3499999999999996</v>
      </c>
      <c r="D91" s="196">
        <v>83.1</v>
      </c>
      <c r="E91" s="193">
        <f t="shared" si="2"/>
        <v>0.28577879170222042</v>
      </c>
      <c r="F91" s="46"/>
      <c r="G91" s="46"/>
      <c r="H91" s="46"/>
      <c r="I91" s="46"/>
      <c r="J91" s="46"/>
      <c r="K91" s="46"/>
      <c r="L91" s="46"/>
      <c r="M91" s="46"/>
      <c r="N91" s="46"/>
      <c r="O91" s="46"/>
    </row>
    <row r="92" spans="1:15">
      <c r="A92" s="46"/>
      <c r="B92" s="178">
        <f t="shared" si="3"/>
        <v>69</v>
      </c>
      <c r="C92" s="194">
        <v>4.4000000000000004</v>
      </c>
      <c r="D92" s="196">
        <v>82</v>
      </c>
      <c r="E92" s="193">
        <f t="shared" si="2"/>
        <v>0.25178508235883346</v>
      </c>
      <c r="F92" s="46"/>
      <c r="G92" s="46"/>
      <c r="H92" s="46"/>
      <c r="I92" s="46"/>
      <c r="J92" s="46"/>
      <c r="K92" s="46"/>
      <c r="L92" s="46"/>
      <c r="M92" s="46"/>
      <c r="N92" s="46"/>
      <c r="O92" s="46"/>
    </row>
    <row r="93" spans="1:15">
      <c r="A93" s="46"/>
      <c r="B93" s="178">
        <f t="shared" si="3"/>
        <v>70</v>
      </c>
      <c r="C93" s="194">
        <v>4.45</v>
      </c>
      <c r="D93" s="196">
        <v>80.5</v>
      </c>
      <c r="E93" s="193">
        <f t="shared" si="2"/>
        <v>0.21185074503545828</v>
      </c>
      <c r="F93" s="46"/>
      <c r="G93" s="46"/>
      <c r="H93" s="46"/>
      <c r="I93" s="46"/>
      <c r="J93" s="46"/>
      <c r="K93" s="46"/>
      <c r="L93" s="46"/>
      <c r="M93" s="46"/>
      <c r="N93" s="46"/>
      <c r="O93" s="46"/>
    </row>
    <row r="94" spans="1:15">
      <c r="A94" s="46"/>
      <c r="B94" s="178">
        <f t="shared" si="3"/>
        <v>71</v>
      </c>
      <c r="C94" s="194">
        <v>4.5</v>
      </c>
      <c r="D94" s="196">
        <v>80</v>
      </c>
      <c r="E94" s="193">
        <f t="shared" si="2"/>
        <v>0.2</v>
      </c>
      <c r="F94" s="46"/>
      <c r="G94" s="46"/>
      <c r="H94" s="46"/>
      <c r="I94" s="46"/>
      <c r="J94" s="46"/>
      <c r="K94" s="46"/>
      <c r="L94" s="46"/>
      <c r="M94" s="46"/>
      <c r="N94" s="46"/>
      <c r="O94" s="46"/>
    </row>
    <row r="95" spans="1:15">
      <c r="A95" s="46"/>
      <c r="B95" s="46"/>
      <c r="C95" s="46"/>
      <c r="D95" s="46"/>
      <c r="E95" s="46"/>
      <c r="F95" s="46"/>
      <c r="G95" s="46"/>
      <c r="H95" s="46"/>
      <c r="I95" s="46"/>
      <c r="J95" s="46"/>
      <c r="K95" s="46"/>
      <c r="L95" s="46"/>
      <c r="M95" s="46"/>
      <c r="N95" s="46"/>
      <c r="O95" s="4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195"/>
  <sheetViews>
    <sheetView topLeftCell="A64" zoomScale="90" zoomScaleNormal="90" workbookViewId="0">
      <selection activeCell="E80" sqref="E80"/>
    </sheetView>
  </sheetViews>
  <sheetFormatPr defaultColWidth="9.1796875" defaultRowHeight="14.5"/>
  <cols>
    <col min="1" max="1" width="9.1796875" style="40"/>
    <col min="2" max="2" width="12.7265625" style="40" customWidth="1"/>
    <col min="3" max="3" width="10.453125" style="40" customWidth="1"/>
    <col min="4" max="4" width="11.7265625" style="40" customWidth="1"/>
    <col min="5" max="5" width="11" style="40" customWidth="1"/>
    <col min="6" max="6" width="14.1796875" style="40" customWidth="1"/>
    <col min="7" max="7" width="12.7265625" style="40" customWidth="1"/>
    <col min="8" max="8" width="10.453125" style="40" customWidth="1"/>
    <col min="9" max="9" width="12.08984375" style="40" customWidth="1"/>
    <col min="10" max="10" width="11" style="40" customWidth="1"/>
    <col min="11" max="11" width="13.6328125" style="40" customWidth="1"/>
    <col min="12" max="12" width="12.7265625" style="40" customWidth="1"/>
    <col min="13" max="13" width="10.453125" style="40" customWidth="1"/>
    <col min="14" max="14" width="13" style="40" customWidth="1"/>
    <col min="15" max="15" width="11" style="40" customWidth="1"/>
    <col min="16" max="16" width="14.1796875" style="40" customWidth="1"/>
    <col min="17" max="17" width="12.7265625" style="40" customWidth="1"/>
    <col min="18" max="18" width="10.453125" style="40" customWidth="1"/>
    <col min="19" max="19" width="11.7265625" style="40" customWidth="1"/>
    <col min="20" max="20" width="11" style="40" customWidth="1"/>
    <col min="21" max="21" width="14.1796875" style="40" customWidth="1"/>
    <col min="22" max="16384" width="9.1796875" style="40"/>
  </cols>
  <sheetData>
    <row r="1" spans="1:22">
      <c r="A1" s="46"/>
      <c r="B1" s="46"/>
      <c r="C1" s="46"/>
      <c r="D1" s="46"/>
      <c r="E1" s="46"/>
      <c r="F1" s="46"/>
      <c r="G1" s="46"/>
      <c r="H1" s="46"/>
      <c r="I1" s="46"/>
      <c r="J1" s="46"/>
      <c r="K1" s="46"/>
      <c r="L1" s="46"/>
      <c r="M1" s="46"/>
      <c r="N1" s="46"/>
      <c r="O1" s="46"/>
      <c r="P1" s="46"/>
      <c r="Q1" s="46"/>
      <c r="R1" s="46"/>
      <c r="S1" s="46"/>
      <c r="T1" s="46"/>
      <c r="U1" s="46"/>
      <c r="V1" s="46"/>
    </row>
    <row r="2" spans="1:22">
      <c r="A2" s="46"/>
      <c r="B2" s="7"/>
      <c r="C2" s="8"/>
      <c r="D2" s="8"/>
      <c r="E2" s="8"/>
      <c r="F2" s="8"/>
      <c r="G2" s="8"/>
      <c r="H2" s="8"/>
      <c r="I2" s="8"/>
      <c r="J2" s="8"/>
      <c r="K2" s="8"/>
      <c r="L2" s="8"/>
      <c r="M2" s="8"/>
      <c r="N2" s="8"/>
      <c r="O2" s="8"/>
      <c r="P2" s="8"/>
      <c r="Q2" s="8"/>
      <c r="R2" s="8"/>
      <c r="S2" s="8"/>
      <c r="T2" s="8"/>
      <c r="U2" s="9"/>
      <c r="V2" s="46"/>
    </row>
    <row r="3" spans="1:22">
      <c r="A3" s="46"/>
      <c r="B3" s="10"/>
      <c r="C3" s="11"/>
      <c r="D3" s="11"/>
      <c r="E3" s="11"/>
      <c r="F3" s="11"/>
      <c r="G3" s="11"/>
      <c r="H3" s="11" t="s">
        <v>2</v>
      </c>
      <c r="I3" s="11"/>
      <c r="J3" s="11"/>
      <c r="K3" s="11"/>
      <c r="L3" s="11"/>
      <c r="M3" s="11"/>
      <c r="N3" s="11"/>
      <c r="O3" s="11"/>
      <c r="P3" s="11"/>
      <c r="Q3" s="11"/>
      <c r="R3" s="11"/>
      <c r="S3" s="11"/>
      <c r="T3" s="11"/>
      <c r="U3" s="12"/>
      <c r="V3" s="46"/>
    </row>
    <row r="4" spans="1:22">
      <c r="A4" s="46"/>
      <c r="B4" s="10"/>
      <c r="C4" s="11"/>
      <c r="D4" s="11"/>
      <c r="E4" s="11"/>
      <c r="F4" s="11"/>
      <c r="G4" s="11"/>
      <c r="H4" s="11" t="s">
        <v>4</v>
      </c>
      <c r="I4" s="11"/>
      <c r="J4" s="11"/>
      <c r="K4" s="11"/>
      <c r="L4" s="11"/>
      <c r="M4" s="11"/>
      <c r="N4" s="11"/>
      <c r="O4" s="11"/>
      <c r="P4" s="11"/>
      <c r="Q4" s="11"/>
      <c r="R4" s="11"/>
      <c r="S4" s="11"/>
      <c r="T4" s="11"/>
      <c r="U4" s="12"/>
      <c r="V4" s="46"/>
    </row>
    <row r="5" spans="1:22">
      <c r="A5" s="46"/>
      <c r="B5" s="10"/>
      <c r="C5" s="11"/>
      <c r="D5" s="11"/>
      <c r="E5" s="11"/>
      <c r="F5" s="11"/>
      <c r="G5" s="11"/>
      <c r="H5" s="11"/>
      <c r="I5" s="11"/>
      <c r="J5" s="11"/>
      <c r="K5" s="11"/>
      <c r="L5" s="11"/>
      <c r="M5" s="11"/>
      <c r="N5" s="11"/>
      <c r="O5" s="11"/>
      <c r="P5" s="11"/>
      <c r="Q5" s="11"/>
      <c r="R5" s="11"/>
      <c r="S5" s="11"/>
      <c r="T5" s="11"/>
      <c r="U5" s="12"/>
      <c r="V5" s="46"/>
    </row>
    <row r="6" spans="1:22">
      <c r="A6" s="46"/>
      <c r="B6" s="10"/>
      <c r="C6" s="11"/>
      <c r="D6" s="11"/>
      <c r="E6" s="11"/>
      <c r="F6" s="11"/>
      <c r="G6" s="11"/>
      <c r="H6" s="11"/>
      <c r="I6" s="11"/>
      <c r="J6" s="11"/>
      <c r="K6" s="11"/>
      <c r="L6" s="11"/>
      <c r="M6" s="11"/>
      <c r="N6" s="11"/>
      <c r="O6" s="11"/>
      <c r="P6" s="11"/>
      <c r="Q6" s="11"/>
      <c r="R6" s="11"/>
      <c r="S6" s="11"/>
      <c r="T6" s="11"/>
      <c r="U6" s="12"/>
      <c r="V6" s="46"/>
    </row>
    <row r="7" spans="1:22">
      <c r="A7" s="46"/>
      <c r="B7" s="10"/>
      <c r="C7" s="13" t="s">
        <v>0</v>
      </c>
      <c r="D7" s="11"/>
      <c r="E7" s="11"/>
      <c r="F7" s="11"/>
      <c r="G7" s="46"/>
      <c r="H7" s="46"/>
      <c r="I7" s="733" t="s">
        <v>559</v>
      </c>
      <c r="J7" s="152"/>
      <c r="K7" s="153" t="s">
        <v>897</v>
      </c>
      <c r="L7" s="11"/>
      <c r="M7" s="11"/>
      <c r="N7" s="11"/>
      <c r="O7" s="11"/>
      <c r="P7" s="11"/>
      <c r="Q7" s="14" t="s">
        <v>5</v>
      </c>
      <c r="R7" s="15">
        <v>3</v>
      </c>
      <c r="S7" s="16">
        <v>43738</v>
      </c>
      <c r="T7" s="11"/>
      <c r="U7" s="12"/>
      <c r="V7" s="46"/>
    </row>
    <row r="8" spans="1:22">
      <c r="A8" s="46"/>
      <c r="B8" s="10"/>
      <c r="C8" s="13" t="s">
        <v>1</v>
      </c>
      <c r="D8" s="11"/>
      <c r="E8" s="11"/>
      <c r="F8" s="11"/>
      <c r="G8" s="11"/>
      <c r="H8" s="11"/>
      <c r="I8" s="11"/>
      <c r="J8" s="11"/>
      <c r="K8" s="11"/>
      <c r="L8" s="11"/>
      <c r="M8" s="11"/>
      <c r="N8" s="11"/>
      <c r="O8" s="11"/>
      <c r="P8" s="11"/>
      <c r="Q8" s="11"/>
      <c r="R8" s="11"/>
      <c r="S8" s="11"/>
      <c r="T8" s="11"/>
      <c r="U8" s="12"/>
      <c r="V8" s="46"/>
    </row>
    <row r="9" spans="1:22">
      <c r="A9" s="46"/>
      <c r="B9" s="17"/>
      <c r="C9" s="18"/>
      <c r="D9" s="18"/>
      <c r="E9" s="18"/>
      <c r="F9" s="18"/>
      <c r="G9" s="18"/>
      <c r="H9" s="18"/>
      <c r="I9" s="18"/>
      <c r="J9" s="18"/>
      <c r="K9" s="18"/>
      <c r="L9" s="18"/>
      <c r="M9" s="18"/>
      <c r="N9" s="18"/>
      <c r="O9" s="18"/>
      <c r="P9" s="18"/>
      <c r="Q9" s="18"/>
      <c r="R9" s="18"/>
      <c r="S9" s="18"/>
      <c r="T9" s="18"/>
      <c r="U9" s="19"/>
      <c r="V9" s="46"/>
    </row>
    <row r="10" spans="1:22">
      <c r="A10" s="46"/>
      <c r="B10" s="207" t="s">
        <v>197</v>
      </c>
      <c r="C10" s="208"/>
      <c r="D10" s="721"/>
      <c r="E10" s="719">
        <f>'Passby Data Set 3'!E9</f>
        <v>3</v>
      </c>
      <c r="F10" s="720"/>
      <c r="G10" s="583" t="s">
        <v>817</v>
      </c>
      <c r="H10" s="105"/>
      <c r="I10" s="105"/>
      <c r="J10" s="582"/>
      <c r="K10" s="207"/>
      <c r="L10" s="59"/>
      <c r="M10" s="59"/>
      <c r="N10" s="59"/>
      <c r="O10" s="59" t="s">
        <v>203</v>
      </c>
      <c r="P10" s="59"/>
      <c r="Q10" s="59"/>
      <c r="R10" s="59"/>
      <c r="S10" s="59"/>
      <c r="T10" s="59"/>
      <c r="U10" s="227"/>
      <c r="V10" s="46"/>
    </row>
    <row r="11" spans="1:22">
      <c r="A11" s="46"/>
      <c r="B11" s="209" t="s">
        <v>9</v>
      </c>
      <c r="C11" s="210"/>
      <c r="D11" s="95" t="str">
        <f>'Passby Data Set 3'!E10</f>
        <v>CRH3 Series (based on Siemens)</v>
      </c>
      <c r="E11" s="95"/>
      <c r="F11" s="722"/>
      <c r="G11" s="581"/>
      <c r="H11" s="105"/>
      <c r="I11" s="105"/>
      <c r="J11" s="582"/>
      <c r="K11" s="581"/>
      <c r="L11" s="105"/>
      <c r="M11" s="105"/>
      <c r="N11" s="105"/>
      <c r="O11" s="105"/>
      <c r="P11" s="105"/>
      <c r="Q11" s="105"/>
      <c r="R11" s="105"/>
      <c r="S11" s="105"/>
      <c r="T11" s="105"/>
      <c r="U11" s="582"/>
      <c r="V11" s="46"/>
    </row>
    <row r="12" spans="1:22" ht="15">
      <c r="A12" s="46"/>
      <c r="B12" s="106" t="s">
        <v>800</v>
      </c>
      <c r="C12" s="8"/>
      <c r="D12" s="8"/>
      <c r="E12" s="8"/>
      <c r="F12" s="8"/>
      <c r="G12" s="8"/>
      <c r="H12" s="8"/>
      <c r="I12" s="8"/>
      <c r="J12" s="8"/>
      <c r="K12" s="127" t="s">
        <v>287</v>
      </c>
      <c r="L12" s="128"/>
      <c r="M12" s="128"/>
      <c r="N12" s="128"/>
      <c r="O12" s="128"/>
      <c r="P12" s="8"/>
      <c r="Q12" s="8"/>
      <c r="R12" s="8"/>
      <c r="S12" s="8"/>
      <c r="T12" s="8"/>
      <c r="U12" s="9"/>
      <c r="V12" s="46"/>
    </row>
    <row r="13" spans="1:22" ht="15">
      <c r="A13" s="46"/>
      <c r="B13" s="10" t="s">
        <v>342</v>
      </c>
      <c r="C13" s="11"/>
      <c r="D13" s="15">
        <f>'Passby Data Set 3'!H22</f>
        <v>271</v>
      </c>
      <c r="E13" s="15" t="s">
        <v>242</v>
      </c>
      <c r="F13" s="107">
        <f>D13*(1/3600)*(1000/1)</f>
        <v>75.277777777777771</v>
      </c>
      <c r="G13" s="15" t="s">
        <v>243</v>
      </c>
      <c r="H13" s="11"/>
      <c r="I13" s="11"/>
      <c r="J13" s="11"/>
      <c r="K13" s="129" t="s">
        <v>288</v>
      </c>
      <c r="L13" s="125"/>
      <c r="M13" s="125"/>
      <c r="N13" s="125"/>
      <c r="O13" s="125"/>
      <c r="P13" s="11"/>
      <c r="Q13" s="11"/>
      <c r="R13" s="11"/>
      <c r="S13" s="11"/>
      <c r="T13" s="11"/>
      <c r="U13" s="12"/>
      <c r="V13" s="46"/>
    </row>
    <row r="14" spans="1:22">
      <c r="A14" s="46"/>
      <c r="B14" s="10" t="s">
        <v>244</v>
      </c>
      <c r="C14" s="11"/>
      <c r="D14" s="15">
        <f>'Passby Data Set 3'!H21</f>
        <v>200</v>
      </c>
      <c r="E14" s="15" t="s">
        <v>15</v>
      </c>
      <c r="F14" s="11" t="s">
        <v>381</v>
      </c>
      <c r="G14" s="11"/>
      <c r="H14" s="11"/>
      <c r="I14" s="11"/>
      <c r="J14" s="11"/>
      <c r="K14" s="154" t="s">
        <v>289</v>
      </c>
      <c r="L14" s="125"/>
      <c r="M14" s="125"/>
      <c r="N14" s="125"/>
      <c r="O14" s="125"/>
      <c r="P14" s="11"/>
      <c r="Q14" s="11"/>
      <c r="R14" s="11"/>
      <c r="S14" s="11"/>
      <c r="T14" s="11"/>
      <c r="U14" s="12"/>
      <c r="V14" s="46"/>
    </row>
    <row r="15" spans="1:22" ht="16.5">
      <c r="A15" s="46"/>
      <c r="B15" s="10" t="s">
        <v>818</v>
      </c>
      <c r="C15" s="11"/>
      <c r="D15" s="15">
        <f>D14/F13</f>
        <v>2.6568265682656831</v>
      </c>
      <c r="E15" s="15" t="s">
        <v>237</v>
      </c>
      <c r="F15" s="76" t="s">
        <v>248</v>
      </c>
      <c r="G15" s="11"/>
      <c r="H15" s="11"/>
      <c r="I15" s="11"/>
      <c r="J15" s="11"/>
      <c r="K15" s="10" t="s">
        <v>290</v>
      </c>
      <c r="L15" s="125"/>
      <c r="M15" s="125"/>
      <c r="N15" s="125"/>
      <c r="O15" s="125"/>
      <c r="P15" s="11"/>
      <c r="Q15" s="11"/>
      <c r="R15" s="11"/>
      <c r="S15" s="11"/>
      <c r="T15" s="11"/>
      <c r="U15" s="12"/>
      <c r="V15" s="46"/>
    </row>
    <row r="16" spans="1:22"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ht="16.5">
      <c r="A17" s="46"/>
      <c r="B17" s="10" t="s">
        <v>298</v>
      </c>
      <c r="C17" s="11"/>
      <c r="D17" s="107">
        <f>'Passby Data Set 3'!C89-'Passby Data Set 3'!C28</f>
        <v>3.05</v>
      </c>
      <c r="E17" s="15" t="s">
        <v>237</v>
      </c>
      <c r="F17" s="76" t="s">
        <v>250</v>
      </c>
      <c r="G17" s="11"/>
      <c r="H17" s="11"/>
      <c r="I17" s="11"/>
      <c r="J17" s="11"/>
      <c r="K17" s="116" t="s">
        <v>299</v>
      </c>
      <c r="L17" s="125"/>
      <c r="M17" s="125"/>
      <c r="N17" s="125"/>
      <c r="O17" s="125"/>
      <c r="P17" s="11"/>
      <c r="Q17" s="11"/>
      <c r="R17" s="11"/>
      <c r="S17" s="11"/>
      <c r="T17" s="11"/>
      <c r="U17" s="12"/>
      <c r="V17" s="46"/>
    </row>
    <row r="18" spans="1:22"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ht="16.5">
      <c r="A20" s="46"/>
      <c r="B20" s="10"/>
      <c r="C20" s="11"/>
      <c r="D20" s="15"/>
      <c r="E20" s="15"/>
      <c r="F20" s="11" t="s">
        <v>798</v>
      </c>
      <c r="G20" s="11"/>
      <c r="H20" s="11"/>
      <c r="I20" s="11"/>
      <c r="J20" s="11"/>
      <c r="K20" s="186" t="s">
        <v>369</v>
      </c>
      <c r="L20" s="11"/>
      <c r="M20" s="11"/>
      <c r="N20" s="11"/>
      <c r="O20" s="11"/>
      <c r="P20" s="11"/>
      <c r="Q20" s="11"/>
      <c r="R20" s="11"/>
      <c r="S20" s="11"/>
      <c r="T20" s="11"/>
      <c r="U20" s="12"/>
      <c r="V20" s="46"/>
    </row>
    <row r="21" spans="1:22"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c r="A22" s="46"/>
      <c r="B22" s="11"/>
      <c r="C22" s="11"/>
      <c r="D22" s="15"/>
      <c r="E22" s="15"/>
      <c r="F22" s="11"/>
      <c r="G22" s="11"/>
      <c r="H22" s="11"/>
      <c r="I22" s="11"/>
      <c r="J22" s="11"/>
      <c r="K22" s="46"/>
      <c r="L22" s="46"/>
      <c r="M22" s="46"/>
      <c r="N22" s="46"/>
      <c r="O22" s="46"/>
      <c r="P22" s="46"/>
      <c r="Q22" s="46"/>
      <c r="R22" s="46"/>
      <c r="S22" s="46"/>
      <c r="T22" s="46"/>
      <c r="U22" s="46"/>
      <c r="V22" s="46"/>
    </row>
    <row r="23" spans="1:22" ht="16.5">
      <c r="A23" s="46"/>
      <c r="B23" s="106" t="s">
        <v>206</v>
      </c>
      <c r="C23" s="8"/>
      <c r="D23" s="8"/>
      <c r="E23" s="8"/>
      <c r="F23" s="8"/>
      <c r="G23" s="8"/>
      <c r="H23" s="8"/>
      <c r="I23" s="8"/>
      <c r="J23" s="8"/>
      <c r="K23" s="8"/>
      <c r="L23" s="8"/>
      <c r="M23" s="8"/>
      <c r="N23" s="8"/>
      <c r="O23" s="8"/>
      <c r="P23" s="8"/>
      <c r="Q23" s="8"/>
      <c r="R23" s="8"/>
      <c r="S23" s="8"/>
      <c r="T23" s="8"/>
      <c r="U23" s="9"/>
      <c r="V23" s="46"/>
    </row>
    <row r="24" spans="1:22" ht="16.5">
      <c r="A24" s="46"/>
      <c r="B24" s="10" t="s">
        <v>223</v>
      </c>
      <c r="C24" s="11"/>
      <c r="D24" s="11"/>
      <c r="E24" s="11"/>
      <c r="F24" s="11"/>
      <c r="G24" s="11"/>
      <c r="H24" s="11"/>
      <c r="I24" s="11"/>
      <c r="J24" s="11" t="s">
        <v>292</v>
      </c>
      <c r="K24" s="11"/>
      <c r="L24" s="11"/>
      <c r="M24" s="11"/>
      <c r="N24" s="11"/>
      <c r="O24" s="11"/>
      <c r="P24" s="11"/>
      <c r="Q24" s="11"/>
      <c r="R24" s="11"/>
      <c r="S24" s="11"/>
      <c r="T24" s="11"/>
      <c r="U24" s="12"/>
      <c r="V24" s="46"/>
    </row>
    <row r="25" spans="1:22">
      <c r="A25" s="46"/>
      <c r="B25" s="10" t="s">
        <v>811</v>
      </c>
      <c r="C25" s="11"/>
      <c r="D25" s="11"/>
      <c r="E25" s="11"/>
      <c r="F25" s="11"/>
      <c r="G25" s="11"/>
      <c r="H25" s="11"/>
      <c r="I25" s="11"/>
      <c r="J25" s="11"/>
      <c r="K25" s="11"/>
      <c r="L25" s="11"/>
      <c r="M25" s="11"/>
      <c r="N25" s="11"/>
      <c r="O25" s="11"/>
      <c r="P25" s="11"/>
      <c r="Q25" s="11"/>
      <c r="R25" s="11"/>
      <c r="S25" s="11"/>
      <c r="T25" s="11"/>
      <c r="U25" s="12"/>
      <c r="V25" s="46"/>
    </row>
    <row r="26" spans="1:22">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215</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ht="16.5">
      <c r="A31" s="46"/>
      <c r="B31" s="10" t="s">
        <v>222</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ht="16.5">
      <c r="A33" s="46"/>
      <c r="B33" s="10"/>
      <c r="C33" s="11"/>
      <c r="D33" s="11"/>
      <c r="E33" s="11"/>
      <c r="F33" s="11"/>
      <c r="G33" s="11"/>
      <c r="H33" s="11"/>
      <c r="I33" s="11"/>
      <c r="J33" s="15" t="s">
        <v>228</v>
      </c>
      <c r="K33" s="11" t="s">
        <v>752</v>
      </c>
      <c r="L33" s="11"/>
      <c r="M33" s="11"/>
      <c r="N33" s="11"/>
      <c r="O33" s="11"/>
      <c r="P33" s="11"/>
      <c r="Q33" s="11"/>
      <c r="R33" s="11"/>
      <c r="S33" s="11"/>
      <c r="T33" s="11"/>
      <c r="U33" s="12"/>
      <c r="V33" s="46"/>
    </row>
    <row r="34" spans="1:22">
      <c r="A34" s="46"/>
      <c r="B34" s="10"/>
      <c r="C34" s="11"/>
      <c r="D34" s="11"/>
      <c r="E34" s="11"/>
      <c r="F34" s="11"/>
      <c r="G34" s="11" t="s">
        <v>728</v>
      </c>
      <c r="H34" s="11"/>
      <c r="I34" s="11"/>
      <c r="J34" s="11"/>
      <c r="K34" s="11"/>
      <c r="L34" s="11"/>
      <c r="M34" s="11"/>
      <c r="N34" s="11"/>
      <c r="O34" s="11"/>
      <c r="P34" s="11"/>
      <c r="Q34" s="11"/>
      <c r="R34" s="11"/>
      <c r="S34" s="11"/>
      <c r="T34" s="11"/>
      <c r="U34" s="12"/>
      <c r="V34" s="46"/>
    </row>
    <row r="35" spans="1:22">
      <c r="A35" s="46"/>
      <c r="B35" s="10"/>
      <c r="C35" s="11"/>
      <c r="D35" s="11"/>
      <c r="E35" s="11"/>
      <c r="F35" s="11"/>
      <c r="G35" s="11" t="s">
        <v>729</v>
      </c>
      <c r="H35" s="11"/>
      <c r="I35" s="11"/>
      <c r="J35" s="11"/>
      <c r="K35" s="11"/>
      <c r="L35" s="11"/>
      <c r="M35" s="11"/>
      <c r="N35" s="11"/>
      <c r="O35" s="11"/>
      <c r="P35" s="11"/>
      <c r="Q35" s="11"/>
      <c r="R35" s="11"/>
      <c r="S35" s="11"/>
      <c r="T35" s="11"/>
      <c r="U35" s="12"/>
      <c r="V35" s="46"/>
    </row>
    <row r="36" spans="1:22">
      <c r="A36" s="46"/>
      <c r="B36" s="17"/>
      <c r="C36" s="108"/>
      <c r="D36" s="18"/>
      <c r="E36" s="18"/>
      <c r="F36" s="18"/>
      <c r="G36" s="18"/>
      <c r="H36" s="18"/>
      <c r="I36" s="18"/>
      <c r="J36" s="18"/>
      <c r="K36" s="18"/>
      <c r="L36" s="18"/>
      <c r="M36" s="18"/>
      <c r="N36" s="18"/>
      <c r="O36" s="18"/>
      <c r="P36" s="18"/>
      <c r="Q36" s="18"/>
      <c r="R36" s="18"/>
      <c r="S36" s="18"/>
      <c r="T36" s="18"/>
      <c r="U36" s="19"/>
      <c r="V36" s="46"/>
    </row>
    <row r="37" spans="1:22" ht="33.75" customHeight="1">
      <c r="A37" s="46"/>
      <c r="B37" s="91" t="s">
        <v>192</v>
      </c>
      <c r="C37" s="101" t="s">
        <v>27</v>
      </c>
      <c r="D37" s="92" t="s">
        <v>230</v>
      </c>
      <c r="E37" s="91" t="s">
        <v>231</v>
      </c>
      <c r="F37" s="92" t="s">
        <v>233</v>
      </c>
      <c r="G37" s="91" t="s">
        <v>192</v>
      </c>
      <c r="H37" s="101" t="s">
        <v>27</v>
      </c>
      <c r="I37" s="92" t="s">
        <v>230</v>
      </c>
      <c r="J37" s="91" t="s">
        <v>231</v>
      </c>
      <c r="K37" s="92" t="s">
        <v>233</v>
      </c>
      <c r="L37" s="91" t="s">
        <v>192</v>
      </c>
      <c r="M37" s="101" t="s">
        <v>27</v>
      </c>
      <c r="N37" s="92" t="s">
        <v>230</v>
      </c>
      <c r="O37" s="91" t="s">
        <v>231</v>
      </c>
      <c r="P37" s="92" t="s">
        <v>233</v>
      </c>
      <c r="Q37" s="91" t="s">
        <v>192</v>
      </c>
      <c r="R37" s="101" t="s">
        <v>27</v>
      </c>
      <c r="S37" s="92" t="s">
        <v>230</v>
      </c>
      <c r="T37" s="91" t="s">
        <v>231</v>
      </c>
      <c r="U37" s="92" t="s">
        <v>233</v>
      </c>
      <c r="V37" s="46"/>
    </row>
    <row r="38" spans="1:22">
      <c r="A38" s="46"/>
      <c r="B38" s="41">
        <f>'Passby Data Set 1'!B24</f>
        <v>1</v>
      </c>
      <c r="C38" s="199">
        <f>'Passby Data Set 3'!C24</f>
        <v>1</v>
      </c>
      <c r="D38" s="102">
        <f>'Passby Data Set 3'!D24</f>
        <v>80.099999999999994</v>
      </c>
      <c r="E38" s="103">
        <f>'Passby Data Set 3'!E24</f>
        <v>0.20231589085197987</v>
      </c>
      <c r="F38" s="104">
        <f t="shared" ref="F38:F55" si="0">(E38*E38)/($O$31*$O$31)</f>
        <v>102329299.22807556</v>
      </c>
      <c r="G38" s="41">
        <v>19</v>
      </c>
      <c r="H38" s="102">
        <f>'Passby Data Set 3'!C42</f>
        <v>1.9</v>
      </c>
      <c r="I38" s="102">
        <f>'Passby Data Set 3'!D42</f>
        <v>96.2</v>
      </c>
      <c r="J38" s="103">
        <f>'Passby Data Set 3'!E42</f>
        <v>1.2913084580693137</v>
      </c>
      <c r="K38" s="104">
        <f t="shared" ref="K38:K55" si="1">(J38*J38)/($O$31*$O$31)</f>
        <v>4168693834.7033706</v>
      </c>
      <c r="L38" s="41">
        <v>37</v>
      </c>
      <c r="M38" s="102">
        <f>'Passby Data Set 3'!C60</f>
        <v>2.8</v>
      </c>
      <c r="N38" s="102">
        <f>'Passby Data Set 3'!D60</f>
        <v>96</v>
      </c>
      <c r="O38" s="103">
        <f>'Passby Data Set 3'!E60</f>
        <v>1.2619146889603869</v>
      </c>
      <c r="P38" s="104">
        <f t="shared" ref="P38:P55" si="2">(O38*O38)/($O$31*$O$31)</f>
        <v>3981071705.5349746</v>
      </c>
      <c r="Q38" s="41">
        <v>55</v>
      </c>
      <c r="R38" s="102">
        <f>'Passby Data Set 3'!C78</f>
        <v>3.7</v>
      </c>
      <c r="S38" s="102">
        <f>'Passby Data Set 3'!D78</f>
        <v>95.6</v>
      </c>
      <c r="T38" s="103">
        <f>'Passby Data Set 3'!E78</f>
        <v>1.205119172148714</v>
      </c>
      <c r="U38" s="104">
        <f t="shared" ref="U38:U54" si="3">(T38*T38)/($O$31*$O$31)</f>
        <v>3630780547.701004</v>
      </c>
      <c r="V38" s="46"/>
    </row>
    <row r="39" spans="1:22">
      <c r="A39" s="46"/>
      <c r="B39" s="41">
        <f>'Passby Data Set 1'!B25</f>
        <v>2</v>
      </c>
      <c r="C39" s="199">
        <f>'Passby Data Set 3'!C25</f>
        <v>1.05</v>
      </c>
      <c r="D39" s="102">
        <f>'Passby Data Set 3'!D25</f>
        <v>82</v>
      </c>
      <c r="E39" s="103">
        <f>'Passby Data Set 3'!E25</f>
        <v>0.25178508235883346</v>
      </c>
      <c r="F39" s="104">
        <f t="shared" si="0"/>
        <v>158489319.24611136</v>
      </c>
      <c r="G39" s="41">
        <f>G38+1</f>
        <v>20</v>
      </c>
      <c r="H39" s="102">
        <f>'Passby Data Set 3'!C43</f>
        <v>1.95</v>
      </c>
      <c r="I39" s="102">
        <f>'Passby Data Set 3'!D43</f>
        <v>96.7</v>
      </c>
      <c r="J39" s="103">
        <f>'Passby Data Set 3'!E43</f>
        <v>1.367823294562861</v>
      </c>
      <c r="K39" s="104">
        <f t="shared" si="1"/>
        <v>4677351412.8719969</v>
      </c>
      <c r="L39" s="41">
        <f>L38+1</f>
        <v>38</v>
      </c>
      <c r="M39" s="102">
        <f>'Passby Data Set 3'!C61</f>
        <v>2.85</v>
      </c>
      <c r="N39" s="102">
        <f>'Passby Data Set 3'!D61</f>
        <v>96.2</v>
      </c>
      <c r="O39" s="103">
        <f>'Passby Data Set 3'!E61</f>
        <v>1.2913084580693137</v>
      </c>
      <c r="P39" s="104">
        <f t="shared" si="2"/>
        <v>4168693834.7033706</v>
      </c>
      <c r="Q39" s="41">
        <f>Q38+1</f>
        <v>56</v>
      </c>
      <c r="R39" s="102">
        <f>'Passby Data Set 3'!C79</f>
        <v>3.75</v>
      </c>
      <c r="S39" s="102">
        <f>'Passby Data Set 3'!D79</f>
        <v>94.8</v>
      </c>
      <c r="T39" s="103">
        <f>'Passby Data Set 3'!E79</f>
        <v>1.0990817477152501</v>
      </c>
      <c r="U39" s="104">
        <f t="shared" si="3"/>
        <v>3019951720.4020214</v>
      </c>
      <c r="V39" s="46"/>
    </row>
    <row r="40" spans="1:22">
      <c r="A40" s="46"/>
      <c r="B40" s="41">
        <f>'Passby Data Set 1'!B26</f>
        <v>3</v>
      </c>
      <c r="C40" s="199">
        <f>'Passby Data Set 3'!C26</f>
        <v>1.1000000000000001</v>
      </c>
      <c r="D40" s="102">
        <f>'Passby Data Set 3'!D26</f>
        <v>83.9</v>
      </c>
      <c r="E40" s="103">
        <f>'Passby Data Set 3'!E26</f>
        <v>0.3133502140216301</v>
      </c>
      <c r="F40" s="104">
        <f t="shared" si="0"/>
        <v>245470891.56850341</v>
      </c>
      <c r="G40" s="41">
        <f t="shared" ref="G40:G55" si="4">G39+1</f>
        <v>21</v>
      </c>
      <c r="H40" s="102">
        <f>'Passby Data Set 3'!C44</f>
        <v>2</v>
      </c>
      <c r="I40" s="102">
        <f>'Passby Data Set 3'!D44</f>
        <v>97.2</v>
      </c>
      <c r="J40" s="103">
        <f>'Passby Data Set 3'!E44</f>
        <v>1.4488719201499825</v>
      </c>
      <c r="K40" s="104">
        <f t="shared" si="1"/>
        <v>5248074602.4977427</v>
      </c>
      <c r="L40" s="41">
        <f t="shared" ref="L40:L55" si="5">L39+1</f>
        <v>39</v>
      </c>
      <c r="M40" s="102">
        <f>'Passby Data Set 3'!C62</f>
        <v>2.9</v>
      </c>
      <c r="N40" s="102">
        <f>'Passby Data Set 3'!D62</f>
        <v>96.1</v>
      </c>
      <c r="O40" s="103">
        <f>'Passby Data Set 3'!E62</f>
        <v>1.2765269723810979</v>
      </c>
      <c r="P40" s="104">
        <f t="shared" si="2"/>
        <v>4073802778.0411301</v>
      </c>
      <c r="Q40" s="41">
        <f t="shared" ref="Q40:Q54" si="6">Q39+1</f>
        <v>57</v>
      </c>
      <c r="R40" s="102">
        <f>'Passby Data Set 3'!C80</f>
        <v>3.8</v>
      </c>
      <c r="S40" s="102">
        <f>'Passby Data Set 3'!D80</f>
        <v>94.8</v>
      </c>
      <c r="T40" s="103">
        <f>'Passby Data Set 3'!E80</f>
        <v>1.0990817477152501</v>
      </c>
      <c r="U40" s="104">
        <f t="shared" si="3"/>
        <v>3019951720.4020214</v>
      </c>
      <c r="V40" s="46"/>
    </row>
    <row r="41" spans="1:22">
      <c r="A41" s="46"/>
      <c r="B41" s="41">
        <f>'Passby Data Set 1'!B27</f>
        <v>4</v>
      </c>
      <c r="C41" s="199">
        <f>'Passby Data Set 3'!C27</f>
        <v>1.1499999999999999</v>
      </c>
      <c r="D41" s="102">
        <f>'Passby Data Set 3'!D27</f>
        <v>85</v>
      </c>
      <c r="E41" s="103">
        <f>'Passby Data Set 3'!E27</f>
        <v>0.3556558820077847</v>
      </c>
      <c r="F41" s="104">
        <f t="shared" si="0"/>
        <v>316227766.01683813</v>
      </c>
      <c r="G41" s="41">
        <f t="shared" si="4"/>
        <v>22</v>
      </c>
      <c r="H41" s="102">
        <f>'Passby Data Set 3'!C45</f>
        <v>2.0499999999999998</v>
      </c>
      <c r="I41" s="102">
        <f>'Passby Data Set 3'!D45</f>
        <v>97</v>
      </c>
      <c r="J41" s="103">
        <f>'Passby Data Set 3'!E45</f>
        <v>1.4158915687682758</v>
      </c>
      <c r="K41" s="104">
        <f t="shared" si="1"/>
        <v>5011872336.2727213</v>
      </c>
      <c r="L41" s="41">
        <f t="shared" si="5"/>
        <v>40</v>
      </c>
      <c r="M41" s="102">
        <f>'Passby Data Set 3'!C63</f>
        <v>2.95</v>
      </c>
      <c r="N41" s="102">
        <f>'Passby Data Set 3'!D63</f>
        <v>96.4</v>
      </c>
      <c r="O41" s="103">
        <f>'Passby Data Set 3'!E63</f>
        <v>1.3213868960151947</v>
      </c>
      <c r="P41" s="104">
        <f t="shared" si="2"/>
        <v>4365158322.4016762</v>
      </c>
      <c r="Q41" s="41">
        <f t="shared" si="6"/>
        <v>58</v>
      </c>
      <c r="R41" s="102">
        <f>'Passby Data Set 3'!C81</f>
        <v>3.85</v>
      </c>
      <c r="S41" s="102">
        <f>'Passby Data Set 3'!D81</f>
        <v>94.7</v>
      </c>
      <c r="T41" s="103">
        <f>'Passby Data Set 3'!E81</f>
        <v>1.0865006629848677</v>
      </c>
      <c r="U41" s="104">
        <f t="shared" si="3"/>
        <v>2951209226.6663918</v>
      </c>
      <c r="V41" s="46"/>
    </row>
    <row r="42" spans="1:22">
      <c r="A42" s="46"/>
      <c r="B42" s="41">
        <f>'Passby Data Set 1'!B28</f>
        <v>5</v>
      </c>
      <c r="C42" s="199">
        <f>'Passby Data Set 3'!C28</f>
        <v>1.2</v>
      </c>
      <c r="D42" s="102">
        <f>'Passby Data Set 3'!D28</f>
        <v>88</v>
      </c>
      <c r="E42" s="103">
        <f>'Passby Data Set 3'!E28</f>
        <v>0.50237728630191725</v>
      </c>
      <c r="F42" s="104">
        <f t="shared" si="0"/>
        <v>630957344.48019624</v>
      </c>
      <c r="G42" s="41">
        <f t="shared" si="4"/>
        <v>23</v>
      </c>
      <c r="H42" s="102">
        <f>'Passby Data Set 3'!C46</f>
        <v>2.1</v>
      </c>
      <c r="I42" s="102">
        <f>'Passby Data Set 3'!D46</f>
        <v>96.6</v>
      </c>
      <c r="J42" s="103">
        <f>'Passby Data Set 3'!E46</f>
        <v>1.3521659507839663</v>
      </c>
      <c r="K42" s="104">
        <f t="shared" si="1"/>
        <v>4570881896.1487684</v>
      </c>
      <c r="L42" s="41">
        <f t="shared" si="5"/>
        <v>41</v>
      </c>
      <c r="M42" s="102">
        <f>'Passby Data Set 3'!C64</f>
        <v>3</v>
      </c>
      <c r="N42" s="102">
        <f>'Passby Data Set 3'!D64</f>
        <v>96.5</v>
      </c>
      <c r="O42" s="103">
        <f>'Passby Data Set 3'!E64</f>
        <v>1.3366878351372318</v>
      </c>
      <c r="P42" s="104">
        <f t="shared" si="2"/>
        <v>4466835921.5096474</v>
      </c>
      <c r="Q42" s="41">
        <f t="shared" si="6"/>
        <v>59</v>
      </c>
      <c r="R42" s="102">
        <f>'Passby Data Set 3'!C82</f>
        <v>3.9</v>
      </c>
      <c r="S42" s="102">
        <f>'Passby Data Set 3'!D82</f>
        <v>95.9</v>
      </c>
      <c r="T42" s="103">
        <f>'Passby Data Set 3'!E82</f>
        <v>1.2474696709648392</v>
      </c>
      <c r="U42" s="104">
        <f t="shared" si="3"/>
        <v>3890451449.9428101</v>
      </c>
      <c r="V42" s="46"/>
    </row>
    <row r="43" spans="1:22">
      <c r="A43" s="46"/>
      <c r="B43" s="41">
        <f>'Passby Data Set 1'!B29</f>
        <v>6</v>
      </c>
      <c r="C43" s="199">
        <f>'Passby Data Set 3'!C29</f>
        <v>1.25</v>
      </c>
      <c r="D43" s="102">
        <f>'Passby Data Set 3'!D29</f>
        <v>90.5</v>
      </c>
      <c r="E43" s="103">
        <f>'Passby Data Set 3'!E29</f>
        <v>0.66993087831565623</v>
      </c>
      <c r="F43" s="104">
        <f t="shared" si="0"/>
        <v>1122018454.3019664</v>
      </c>
      <c r="G43" s="41">
        <f t="shared" si="4"/>
        <v>24</v>
      </c>
      <c r="H43" s="102">
        <f>'Passby Data Set 3'!C47</f>
        <v>2.15</v>
      </c>
      <c r="I43" s="102">
        <f>'Passby Data Set 3'!D47</f>
        <v>95.7</v>
      </c>
      <c r="J43" s="103">
        <f>'Passby Data Set 3'!E47</f>
        <v>1.2190737944803411</v>
      </c>
      <c r="K43" s="104">
        <f t="shared" si="1"/>
        <v>3715352290.9717417</v>
      </c>
      <c r="L43" s="41">
        <f t="shared" si="5"/>
        <v>42</v>
      </c>
      <c r="M43" s="102">
        <f>'Passby Data Set 3'!C65</f>
        <v>3.05</v>
      </c>
      <c r="N43" s="102">
        <f>'Passby Data Set 3'!D65</f>
        <v>96.9</v>
      </c>
      <c r="O43" s="103">
        <f>'Passby Data Set 3'!E65</f>
        <v>1.3996839920045494</v>
      </c>
      <c r="P43" s="104">
        <f t="shared" si="2"/>
        <v>4897788193.6844778</v>
      </c>
      <c r="Q43" s="41">
        <f t="shared" si="6"/>
        <v>60</v>
      </c>
      <c r="R43" s="102">
        <f>'Passby Data Set 3'!C83</f>
        <v>3.95</v>
      </c>
      <c r="S43" s="102">
        <f>'Passby Data Set 3'!D83</f>
        <v>95.5</v>
      </c>
      <c r="T43" s="103">
        <f>'Passby Data Set 3'!E83</f>
        <v>1.1913242870580238</v>
      </c>
      <c r="U43" s="104">
        <f t="shared" si="3"/>
        <v>3548133892.3357716</v>
      </c>
      <c r="V43" s="46"/>
    </row>
    <row r="44" spans="1:22">
      <c r="A44" s="46"/>
      <c r="B44" s="41">
        <f>'Passby Data Set 1'!B30</f>
        <v>7</v>
      </c>
      <c r="C44" s="199">
        <f>'Passby Data Set 3'!C30</f>
        <v>1.3</v>
      </c>
      <c r="D44" s="102">
        <f>'Passby Data Set 3'!D30</f>
        <v>93</v>
      </c>
      <c r="E44" s="103">
        <f>'Passby Data Set 3'!E30</f>
        <v>0.89336718430192785</v>
      </c>
      <c r="F44" s="104">
        <f t="shared" si="0"/>
        <v>1995262314.9688866</v>
      </c>
      <c r="G44" s="41">
        <f t="shared" si="4"/>
        <v>25</v>
      </c>
      <c r="H44" s="102">
        <f>'Passby Data Set 3'!C48</f>
        <v>2.2000000000000002</v>
      </c>
      <c r="I44" s="102">
        <f>'Passby Data Set 3'!D48</f>
        <v>96</v>
      </c>
      <c r="J44" s="103">
        <f>'Passby Data Set 3'!E48</f>
        <v>1.2619146889603869</v>
      </c>
      <c r="K44" s="104">
        <f t="shared" si="1"/>
        <v>3981071705.5349746</v>
      </c>
      <c r="L44" s="41">
        <f t="shared" si="5"/>
        <v>43</v>
      </c>
      <c r="M44" s="102">
        <f>'Passby Data Set 3'!C66</f>
        <v>3.1</v>
      </c>
      <c r="N44" s="102">
        <f>'Passby Data Set 3'!D66</f>
        <v>95.2</v>
      </c>
      <c r="O44" s="103">
        <f>'Passby Data Set 3'!E66</f>
        <v>1.1508798746743147</v>
      </c>
      <c r="P44" s="104">
        <f t="shared" si="2"/>
        <v>3311311214.8259153</v>
      </c>
      <c r="Q44" s="41">
        <f t="shared" si="6"/>
        <v>61</v>
      </c>
      <c r="R44" s="102">
        <f>'Passby Data Set 3'!C84</f>
        <v>4</v>
      </c>
      <c r="S44" s="102">
        <f>'Passby Data Set 3'!D84</f>
        <v>94.6</v>
      </c>
      <c r="T44" s="103">
        <f>'Passby Data Set 3'!E84</f>
        <v>1.0740635927405047</v>
      </c>
      <c r="U44" s="104">
        <f t="shared" si="3"/>
        <v>2884031503.1266012</v>
      </c>
      <c r="V44" s="46"/>
    </row>
    <row r="45" spans="1:22">
      <c r="A45" s="46"/>
      <c r="B45" s="41">
        <f>'Passby Data Set 1'!B31</f>
        <v>8</v>
      </c>
      <c r="C45" s="199">
        <f>'Passby Data Set 3'!C31</f>
        <v>1.35</v>
      </c>
      <c r="D45" s="102">
        <f>'Passby Data Set 3'!D31</f>
        <v>95</v>
      </c>
      <c r="E45" s="103">
        <f>'Passby Data Set 3'!E31</f>
        <v>1.124682650380699</v>
      </c>
      <c r="F45" s="104">
        <f t="shared" si="0"/>
        <v>3162277660.1683841</v>
      </c>
      <c r="G45" s="41">
        <f t="shared" si="4"/>
        <v>26</v>
      </c>
      <c r="H45" s="102">
        <f>'Passby Data Set 3'!C49</f>
        <v>2.25</v>
      </c>
      <c r="I45" s="102">
        <f>'Passby Data Set 3'!D49</f>
        <v>96.8</v>
      </c>
      <c r="J45" s="103">
        <f>'Passby Data Set 3'!E49</f>
        <v>1.3836619418378731</v>
      </c>
      <c r="K45" s="104">
        <f t="shared" si="1"/>
        <v>4786300923.2263832</v>
      </c>
      <c r="L45" s="41">
        <f t="shared" si="5"/>
        <v>44</v>
      </c>
      <c r="M45" s="102">
        <f>'Passby Data Set 3'!C67</f>
        <v>3.15</v>
      </c>
      <c r="N45" s="102">
        <f>'Passby Data Set 3'!D67</f>
        <v>95.2</v>
      </c>
      <c r="O45" s="103">
        <f>'Passby Data Set 3'!E67</f>
        <v>1.1508798746743147</v>
      </c>
      <c r="P45" s="104">
        <f t="shared" si="2"/>
        <v>3311311214.8259153</v>
      </c>
      <c r="Q45" s="41">
        <f t="shared" si="6"/>
        <v>62</v>
      </c>
      <c r="R45" s="102">
        <f>'Passby Data Set 3'!C85</f>
        <v>4.05</v>
      </c>
      <c r="S45" s="102">
        <f>'Passby Data Set 3'!D85</f>
        <v>93.2</v>
      </c>
      <c r="T45" s="103">
        <f>'Passby Data Set 3'!E85</f>
        <v>0.9141763792297517</v>
      </c>
      <c r="U45" s="104">
        <f t="shared" si="3"/>
        <v>2089296130.8540466</v>
      </c>
      <c r="V45" s="46"/>
    </row>
    <row r="46" spans="1:22">
      <c r="A46" s="46"/>
      <c r="B46" s="41">
        <f>'Passby Data Set 1'!B32</f>
        <v>9</v>
      </c>
      <c r="C46" s="199">
        <f>'Passby Data Set 3'!C32</f>
        <v>1.4</v>
      </c>
      <c r="D46" s="102">
        <f>'Passby Data Set 3'!D32</f>
        <v>94.9</v>
      </c>
      <c r="E46" s="103">
        <f>'Passby Data Set 3'!E32</f>
        <v>1.1118085145408081</v>
      </c>
      <c r="F46" s="104">
        <f t="shared" si="0"/>
        <v>3090295432.5135951</v>
      </c>
      <c r="G46" s="41">
        <f t="shared" si="4"/>
        <v>27</v>
      </c>
      <c r="H46" s="102">
        <f>'Passby Data Set 3'!C50</f>
        <v>2.2999999999999998</v>
      </c>
      <c r="I46" s="102">
        <f>'Passby Data Set 3'!D50</f>
        <v>97</v>
      </c>
      <c r="J46" s="103">
        <f>'Passby Data Set 3'!E50</f>
        <v>1.4158915687682758</v>
      </c>
      <c r="K46" s="104">
        <f t="shared" si="1"/>
        <v>5011872336.2727213</v>
      </c>
      <c r="L46" s="41">
        <f t="shared" si="5"/>
        <v>45</v>
      </c>
      <c r="M46" s="102">
        <f>'Passby Data Set 3'!C68</f>
        <v>3.2</v>
      </c>
      <c r="N46" s="102">
        <f>'Passby Data Set 3'!D68</f>
        <v>95.3</v>
      </c>
      <c r="O46" s="103">
        <f>'Passby Data Set 3'!E68</f>
        <v>1.1642064355417436</v>
      </c>
      <c r="P46" s="104">
        <f t="shared" si="2"/>
        <v>3388441561.3920298</v>
      </c>
      <c r="Q46" s="41">
        <f t="shared" si="6"/>
        <v>63</v>
      </c>
      <c r="R46" s="102">
        <f>'Passby Data Set 3'!C86</f>
        <v>4.0999999999999996</v>
      </c>
      <c r="S46" s="102">
        <f>'Passby Data Set 3'!D86</f>
        <v>91.5</v>
      </c>
      <c r="T46" s="103">
        <f>'Passby Data Set 3'!E86</f>
        <v>0.75167480857688895</v>
      </c>
      <c r="U46" s="104">
        <f t="shared" si="3"/>
        <v>1412537544.6227565</v>
      </c>
      <c r="V46" s="46"/>
    </row>
    <row r="47" spans="1:22">
      <c r="A47" s="46"/>
      <c r="B47" s="41">
        <f>'Passby Data Set 1'!B33</f>
        <v>10</v>
      </c>
      <c r="C47" s="199">
        <f>'Passby Data Set 3'!C33</f>
        <v>1.45</v>
      </c>
      <c r="D47" s="102">
        <f>'Passby Data Set 3'!D33</f>
        <v>95.3</v>
      </c>
      <c r="E47" s="103">
        <f>'Passby Data Set 3'!E33</f>
        <v>1.1642064355417436</v>
      </c>
      <c r="F47" s="104">
        <f t="shared" si="0"/>
        <v>3388441561.3920298</v>
      </c>
      <c r="G47" s="41">
        <f t="shared" si="4"/>
        <v>28</v>
      </c>
      <c r="H47" s="102">
        <f>'Passby Data Set 3'!C51</f>
        <v>2.35</v>
      </c>
      <c r="I47" s="102">
        <f>'Passby Data Set 3'!D51</f>
        <v>96.8</v>
      </c>
      <c r="J47" s="103">
        <f>'Passby Data Set 3'!E51</f>
        <v>1.3836619418378731</v>
      </c>
      <c r="K47" s="104">
        <f t="shared" si="1"/>
        <v>4786300923.2263832</v>
      </c>
      <c r="L47" s="41">
        <f t="shared" si="5"/>
        <v>46</v>
      </c>
      <c r="M47" s="102">
        <f>'Passby Data Set 3'!C69</f>
        <v>3.25</v>
      </c>
      <c r="N47" s="102">
        <f>'Passby Data Set 3'!D69</f>
        <v>96.1</v>
      </c>
      <c r="O47" s="103">
        <f>'Passby Data Set 3'!E69</f>
        <v>1.2765269723810979</v>
      </c>
      <c r="P47" s="104">
        <f t="shared" si="2"/>
        <v>4073802778.0411301</v>
      </c>
      <c r="Q47" s="41">
        <f t="shared" si="6"/>
        <v>64</v>
      </c>
      <c r="R47" s="102">
        <f>'Passby Data Set 3'!C87</f>
        <v>4.1500000000000004</v>
      </c>
      <c r="S47" s="102">
        <f>'Passby Data Set 3'!D87</f>
        <v>89.8</v>
      </c>
      <c r="T47" s="103">
        <f>'Passby Data Set 3'!E87</f>
        <v>0.61805908650271912</v>
      </c>
      <c r="U47" s="104">
        <f t="shared" si="3"/>
        <v>954992586.02143896</v>
      </c>
      <c r="V47" s="46"/>
    </row>
    <row r="48" spans="1:22">
      <c r="A48" s="46"/>
      <c r="B48" s="41">
        <f>'Passby Data Set 1'!B34</f>
        <v>11</v>
      </c>
      <c r="C48" s="199">
        <f>'Passby Data Set 3'!C34</f>
        <v>1.5</v>
      </c>
      <c r="D48" s="102">
        <f>'Passby Data Set 3'!D34</f>
        <v>95.3</v>
      </c>
      <c r="E48" s="103">
        <f>'Passby Data Set 3'!E34</f>
        <v>1.1642064355417436</v>
      </c>
      <c r="F48" s="104">
        <f t="shared" si="0"/>
        <v>3388441561.3920298</v>
      </c>
      <c r="G48" s="41">
        <f t="shared" si="4"/>
        <v>29</v>
      </c>
      <c r="H48" s="102">
        <f>'Passby Data Set 3'!C52</f>
        <v>2.4</v>
      </c>
      <c r="I48" s="102">
        <f>'Passby Data Set 3'!D52</f>
        <v>96.1</v>
      </c>
      <c r="J48" s="103">
        <f>'Passby Data Set 3'!E52</f>
        <v>1.2765269723810979</v>
      </c>
      <c r="K48" s="104">
        <f t="shared" si="1"/>
        <v>4073802778.0411301</v>
      </c>
      <c r="L48" s="41">
        <f t="shared" si="5"/>
        <v>47</v>
      </c>
      <c r="M48" s="102">
        <f>'Passby Data Set 3'!C70</f>
        <v>3.3</v>
      </c>
      <c r="N48" s="102">
        <f>'Passby Data Set 3'!D70</f>
        <v>96.5</v>
      </c>
      <c r="O48" s="103">
        <f>'Passby Data Set 3'!E70</f>
        <v>1.3366878351372318</v>
      </c>
      <c r="P48" s="104">
        <f t="shared" si="2"/>
        <v>4466835921.5096474</v>
      </c>
      <c r="Q48" s="41">
        <f t="shared" si="6"/>
        <v>65</v>
      </c>
      <c r="R48" s="102">
        <f>'Passby Data Set 3'!C88</f>
        <v>4.2</v>
      </c>
      <c r="S48" s="102">
        <f>'Passby Data Set 3'!D88</f>
        <v>88</v>
      </c>
      <c r="T48" s="103">
        <f>'Passby Data Set 3'!E88</f>
        <v>0.50237728630191725</v>
      </c>
      <c r="U48" s="104">
        <f t="shared" si="3"/>
        <v>630957344.48019624</v>
      </c>
      <c r="V48" s="46"/>
    </row>
    <row r="49" spans="1:23">
      <c r="A49" s="46"/>
      <c r="B49" s="41">
        <f>'Passby Data Set 1'!B35</f>
        <v>12</v>
      </c>
      <c r="C49" s="199">
        <f>'Passby Data Set 3'!C35</f>
        <v>1.55</v>
      </c>
      <c r="D49" s="102">
        <f>'Passby Data Set 3'!D35</f>
        <v>95.3</v>
      </c>
      <c r="E49" s="103">
        <f>'Passby Data Set 3'!E35</f>
        <v>1.1642064355417436</v>
      </c>
      <c r="F49" s="104">
        <f t="shared" si="0"/>
        <v>3388441561.3920298</v>
      </c>
      <c r="G49" s="41">
        <f t="shared" si="4"/>
        <v>30</v>
      </c>
      <c r="H49" s="102">
        <f>'Passby Data Set 3'!C53</f>
        <v>2.4500000000000002</v>
      </c>
      <c r="I49" s="102">
        <f>'Passby Data Set 3'!D53</f>
        <v>95.5</v>
      </c>
      <c r="J49" s="103">
        <f>'Passby Data Set 3'!E53</f>
        <v>1.1913242870580238</v>
      </c>
      <c r="K49" s="104">
        <f t="shared" si="1"/>
        <v>3548133892.3357716</v>
      </c>
      <c r="L49" s="41">
        <f t="shared" si="5"/>
        <v>48</v>
      </c>
      <c r="M49" s="102">
        <f>'Passby Data Set 3'!C71</f>
        <v>3.35</v>
      </c>
      <c r="N49" s="102">
        <f>'Passby Data Set 3'!D71</f>
        <v>96.5</v>
      </c>
      <c r="O49" s="103">
        <f>'Passby Data Set 3'!E71</f>
        <v>1.3366878351372318</v>
      </c>
      <c r="P49" s="104">
        <f t="shared" si="2"/>
        <v>4466835921.5096474</v>
      </c>
      <c r="Q49" s="41">
        <f t="shared" si="6"/>
        <v>66</v>
      </c>
      <c r="R49" s="102">
        <f>'Passby Data Set 3'!C89</f>
        <v>4.25</v>
      </c>
      <c r="S49" s="102">
        <f>'Passby Data Set 3'!D89</f>
        <v>86</v>
      </c>
      <c r="T49" s="103">
        <f>'Passby Data Set 3'!E89</f>
        <v>0.39905246299377589</v>
      </c>
      <c r="U49" s="104">
        <f t="shared" si="3"/>
        <v>398107170.55349714</v>
      </c>
      <c r="V49" s="46"/>
    </row>
    <row r="50" spans="1:23">
      <c r="A50" s="46"/>
      <c r="B50" s="41">
        <f>'Passby Data Set 1'!B36</f>
        <v>13</v>
      </c>
      <c r="C50" s="199">
        <f>'Passby Data Set 3'!C36</f>
        <v>1.6</v>
      </c>
      <c r="D50" s="102">
        <f>'Passby Data Set 3'!D36</f>
        <v>96</v>
      </c>
      <c r="E50" s="103">
        <f>'Passby Data Set 3'!E36</f>
        <v>1.2619146889603869</v>
      </c>
      <c r="F50" s="104">
        <f t="shared" si="0"/>
        <v>3981071705.5349746</v>
      </c>
      <c r="G50" s="41">
        <f t="shared" si="4"/>
        <v>31</v>
      </c>
      <c r="H50" s="102">
        <f>'Passby Data Set 3'!C54</f>
        <v>2.5</v>
      </c>
      <c r="I50" s="102">
        <f>'Passby Data Set 3'!D54</f>
        <v>95.4</v>
      </c>
      <c r="J50" s="103">
        <f>'Passby Data Set 3'!E54</f>
        <v>1.1776873107111809</v>
      </c>
      <c r="K50" s="104">
        <f t="shared" si="1"/>
        <v>3467368504.5253334</v>
      </c>
      <c r="L50" s="41">
        <f t="shared" si="5"/>
        <v>49</v>
      </c>
      <c r="M50" s="102">
        <f>'Passby Data Set 3'!C72</f>
        <v>3.4</v>
      </c>
      <c r="N50" s="102">
        <f>'Passby Data Set 3'!D72</f>
        <v>95.8</v>
      </c>
      <c r="O50" s="103">
        <f>'Passby Data Set 3'!E72</f>
        <v>1.2331900037229651</v>
      </c>
      <c r="P50" s="104">
        <f t="shared" si="2"/>
        <v>3801893963.205616</v>
      </c>
      <c r="Q50" s="41">
        <f t="shared" si="6"/>
        <v>67</v>
      </c>
      <c r="R50" s="102">
        <f>'Passby Data Set 3'!C90</f>
        <v>4.3</v>
      </c>
      <c r="S50" s="102">
        <f>'Passby Data Set 3'!D90</f>
        <v>84.9</v>
      </c>
      <c r="T50" s="103">
        <f>'Passby Data Set 3'!E90</f>
        <v>0.35158472279173864</v>
      </c>
      <c r="U50" s="104">
        <f t="shared" si="3"/>
        <v>309029543.25135922</v>
      </c>
      <c r="V50" s="46"/>
    </row>
    <row r="51" spans="1:23">
      <c r="A51" s="46"/>
      <c r="B51" s="41">
        <f>'Passby Data Set 1'!B37</f>
        <v>14</v>
      </c>
      <c r="C51" s="199">
        <f>'Passby Data Set 3'!C37</f>
        <v>1.65</v>
      </c>
      <c r="D51" s="102">
        <f>'Passby Data Set 3'!D37</f>
        <v>96.1</v>
      </c>
      <c r="E51" s="103">
        <f>'Passby Data Set 3'!E37</f>
        <v>1.2765269723810979</v>
      </c>
      <c r="F51" s="104">
        <f t="shared" si="0"/>
        <v>4073802778.0411301</v>
      </c>
      <c r="G51" s="41">
        <f t="shared" si="4"/>
        <v>32</v>
      </c>
      <c r="H51" s="102">
        <f>'Passby Data Set 3'!C55</f>
        <v>2.5499999999999998</v>
      </c>
      <c r="I51" s="102">
        <f>'Passby Data Set 3'!D55</f>
        <v>96.2</v>
      </c>
      <c r="J51" s="103">
        <f>'Passby Data Set 3'!E55</f>
        <v>1.2913084580693137</v>
      </c>
      <c r="K51" s="104">
        <f t="shared" si="1"/>
        <v>4168693834.7033706</v>
      </c>
      <c r="L51" s="41">
        <f t="shared" si="5"/>
        <v>50</v>
      </c>
      <c r="M51" s="102">
        <f>'Passby Data Set 3'!C73</f>
        <v>3.45</v>
      </c>
      <c r="N51" s="102">
        <f>'Passby Data Set 3'!D73</f>
        <v>95</v>
      </c>
      <c r="O51" s="103">
        <f>'Passby Data Set 3'!E73</f>
        <v>1.124682650380699</v>
      </c>
      <c r="P51" s="104">
        <f t="shared" si="2"/>
        <v>3162277660.1683841</v>
      </c>
      <c r="Q51" s="41">
        <f t="shared" si="6"/>
        <v>68</v>
      </c>
      <c r="R51" s="102">
        <f>'Passby Data Set 3'!C91</f>
        <v>4.3499999999999996</v>
      </c>
      <c r="S51" s="102">
        <f>'Passby Data Set 3'!D91</f>
        <v>83.1</v>
      </c>
      <c r="T51" s="103">
        <f>'Passby Data Set 3'!E91</f>
        <v>0.28577879170222042</v>
      </c>
      <c r="U51" s="104">
        <f t="shared" si="3"/>
        <v>204173794.46695271</v>
      </c>
      <c r="V51" s="46"/>
    </row>
    <row r="52" spans="1:23">
      <c r="A52" s="46"/>
      <c r="B52" s="41">
        <f>'Passby Data Set 1'!B38</f>
        <v>15</v>
      </c>
      <c r="C52" s="199">
        <f>'Passby Data Set 3'!C38</f>
        <v>1.7</v>
      </c>
      <c r="D52" s="102">
        <f>'Passby Data Set 3'!D38</f>
        <v>96</v>
      </c>
      <c r="E52" s="103">
        <f>'Passby Data Set 3'!E38</f>
        <v>1.2619146889603869</v>
      </c>
      <c r="F52" s="104">
        <f t="shared" si="0"/>
        <v>3981071705.5349746</v>
      </c>
      <c r="G52" s="41">
        <f t="shared" si="4"/>
        <v>33</v>
      </c>
      <c r="H52" s="102">
        <f>'Passby Data Set 3'!C56</f>
        <v>2.6</v>
      </c>
      <c r="I52" s="102">
        <f>'Passby Data Set 3'!D56</f>
        <v>96.9</v>
      </c>
      <c r="J52" s="103">
        <f>'Passby Data Set 3'!E56</f>
        <v>1.3996839920045494</v>
      </c>
      <c r="K52" s="104">
        <f t="shared" si="1"/>
        <v>4897788193.6844778</v>
      </c>
      <c r="L52" s="41">
        <f t="shared" si="5"/>
        <v>51</v>
      </c>
      <c r="M52" s="102">
        <f>'Passby Data Set 3'!C74</f>
        <v>3.5</v>
      </c>
      <c r="N52" s="102">
        <f>'Passby Data Set 3'!D74</f>
        <v>95</v>
      </c>
      <c r="O52" s="103">
        <f>'Passby Data Set 3'!E74</f>
        <v>1.124682650380699</v>
      </c>
      <c r="P52" s="104">
        <f t="shared" si="2"/>
        <v>3162277660.1683841</v>
      </c>
      <c r="Q52" s="41">
        <f t="shared" si="6"/>
        <v>69</v>
      </c>
      <c r="R52" s="102">
        <f>'Passby Data Set 3'!C92</f>
        <v>4.4000000000000004</v>
      </c>
      <c r="S52" s="102">
        <f>'Passby Data Set 3'!D92</f>
        <v>82</v>
      </c>
      <c r="T52" s="103">
        <f>'Passby Data Set 3'!E92</f>
        <v>0.25178508235883346</v>
      </c>
      <c r="U52" s="104">
        <f t="shared" si="3"/>
        <v>158489319.24611136</v>
      </c>
      <c r="V52" s="46"/>
    </row>
    <row r="53" spans="1:23">
      <c r="A53" s="46"/>
      <c r="B53" s="41">
        <f>B52+1</f>
        <v>16</v>
      </c>
      <c r="C53" s="199">
        <f>'Passby Data Set 3'!C39</f>
        <v>1.75</v>
      </c>
      <c r="D53" s="102">
        <f>'Passby Data Set 3'!D39</f>
        <v>95.5</v>
      </c>
      <c r="E53" s="103">
        <f>'Passby Data Set 3'!E39</f>
        <v>1.1913242870580238</v>
      </c>
      <c r="F53" s="104">
        <f t="shared" si="0"/>
        <v>3548133892.3357716</v>
      </c>
      <c r="G53" s="41">
        <f t="shared" si="4"/>
        <v>34</v>
      </c>
      <c r="H53" s="102">
        <f>'Passby Data Set 3'!C57</f>
        <v>2.65</v>
      </c>
      <c r="I53" s="102">
        <f>'Passby Data Set 3'!D57</f>
        <v>97</v>
      </c>
      <c r="J53" s="103">
        <f>'Passby Data Set 3'!E57</f>
        <v>1.4158915687682758</v>
      </c>
      <c r="K53" s="104">
        <f t="shared" si="1"/>
        <v>5011872336.2727213</v>
      </c>
      <c r="L53" s="41">
        <f t="shared" si="5"/>
        <v>52</v>
      </c>
      <c r="M53" s="102">
        <f>'Passby Data Set 3'!C75</f>
        <v>3.55</v>
      </c>
      <c r="N53" s="102">
        <f>'Passby Data Set 3'!D75</f>
        <v>95.2</v>
      </c>
      <c r="O53" s="103">
        <f>'Passby Data Set 3'!E75</f>
        <v>1.1508798746743147</v>
      </c>
      <c r="P53" s="104">
        <f t="shared" si="2"/>
        <v>3311311214.8259153</v>
      </c>
      <c r="Q53" s="41">
        <f t="shared" si="6"/>
        <v>70</v>
      </c>
      <c r="R53" s="102">
        <f>'Passby Data Set 3'!C93</f>
        <v>4.45</v>
      </c>
      <c r="S53" s="102">
        <f>'Passby Data Set 3'!D93</f>
        <v>80.5</v>
      </c>
      <c r="T53" s="103">
        <f>'Passby Data Set 3'!E93</f>
        <v>0.21185074503545828</v>
      </c>
      <c r="U53" s="104">
        <f t="shared" si="3"/>
        <v>112201845.43019685</v>
      </c>
      <c r="V53" s="46"/>
    </row>
    <row r="54" spans="1:23">
      <c r="A54" s="46"/>
      <c r="B54" s="41">
        <f t="shared" ref="B54:B55" si="7">B53+1</f>
        <v>17</v>
      </c>
      <c r="C54" s="199">
        <f>'Passby Data Set 3'!C40</f>
        <v>1.8</v>
      </c>
      <c r="D54" s="102">
        <f>'Passby Data Set 3'!D40</f>
        <v>95.1</v>
      </c>
      <c r="E54" s="103">
        <f>'Passby Data Set 3'!E40</f>
        <v>1.1377058616876838</v>
      </c>
      <c r="F54" s="104">
        <f t="shared" si="0"/>
        <v>3235936569.2962871</v>
      </c>
      <c r="G54" s="41">
        <f t="shared" si="4"/>
        <v>35</v>
      </c>
      <c r="H54" s="102">
        <f>'Passby Data Set 3'!C58</f>
        <v>2.7</v>
      </c>
      <c r="I54" s="102">
        <f>'Passby Data Set 3'!D58</f>
        <v>96.6</v>
      </c>
      <c r="J54" s="103">
        <f>'Passby Data Set 3'!E58</f>
        <v>1.3521659507839663</v>
      </c>
      <c r="K54" s="104">
        <f t="shared" si="1"/>
        <v>4570881896.1487684</v>
      </c>
      <c r="L54" s="41">
        <f t="shared" si="5"/>
        <v>53</v>
      </c>
      <c r="M54" s="102">
        <f>'Passby Data Set 3'!C76</f>
        <v>3.6</v>
      </c>
      <c r="N54" s="102">
        <f>'Passby Data Set 3'!D76</f>
        <v>95.6</v>
      </c>
      <c r="O54" s="103">
        <f>'Passby Data Set 3'!E76</f>
        <v>1.205119172148714</v>
      </c>
      <c r="P54" s="104">
        <f t="shared" si="2"/>
        <v>3630780547.701004</v>
      </c>
      <c r="Q54" s="41">
        <f t="shared" si="6"/>
        <v>71</v>
      </c>
      <c r="R54" s="102">
        <f>'Passby Data Set 3'!C94</f>
        <v>4.5</v>
      </c>
      <c r="S54" s="102">
        <f>'Passby Data Set 3'!D94</f>
        <v>80</v>
      </c>
      <c r="T54" s="103">
        <f>'Passby Data Set 3'!E94</f>
        <v>0.2</v>
      </c>
      <c r="U54" s="104">
        <f t="shared" si="3"/>
        <v>100000000</v>
      </c>
      <c r="V54" s="46"/>
    </row>
    <row r="55" spans="1:23">
      <c r="A55" s="46"/>
      <c r="B55" s="41">
        <f t="shared" si="7"/>
        <v>18</v>
      </c>
      <c r="C55" s="199">
        <f>'Passby Data Set 3'!C41</f>
        <v>1.85</v>
      </c>
      <c r="D55" s="102">
        <f>'Passby Data Set 3'!D41</f>
        <v>95</v>
      </c>
      <c r="E55" s="103">
        <f>'Passby Data Set 3'!E41</f>
        <v>1.124682650380699</v>
      </c>
      <c r="F55" s="104">
        <f t="shared" si="0"/>
        <v>3162277660.1683841</v>
      </c>
      <c r="G55" s="41">
        <f t="shared" si="4"/>
        <v>36</v>
      </c>
      <c r="H55" s="102">
        <f>'Passby Data Set 3'!C59</f>
        <v>2.75</v>
      </c>
      <c r="I55" s="102">
        <f>'Passby Data Set 3'!D59</f>
        <v>95.9</v>
      </c>
      <c r="J55" s="103">
        <f>'Passby Data Set 3'!E59</f>
        <v>1.2474696709648392</v>
      </c>
      <c r="K55" s="104">
        <f t="shared" si="1"/>
        <v>3890451449.9428101</v>
      </c>
      <c r="L55" s="41">
        <f t="shared" si="5"/>
        <v>54</v>
      </c>
      <c r="M55" s="102">
        <f>'Passby Data Set 3'!C77</f>
        <v>3.65</v>
      </c>
      <c r="N55" s="102">
        <f>'Passby Data Set 3'!D77</f>
        <v>95.8</v>
      </c>
      <c r="O55" s="103">
        <f>'Passby Data Set 3'!E77</f>
        <v>1.2331900037229651</v>
      </c>
      <c r="P55" s="104">
        <f t="shared" si="2"/>
        <v>3801893963.205616</v>
      </c>
      <c r="Q55" s="669"/>
      <c r="R55" s="671"/>
      <c r="S55" s="671"/>
      <c r="T55" s="671"/>
      <c r="U55" s="670"/>
      <c r="V55" s="46"/>
    </row>
    <row r="56" spans="1:23">
      <c r="A56" s="46"/>
      <c r="B56" s="114"/>
      <c r="C56" s="115"/>
      <c r="D56" s="115"/>
      <c r="E56" s="115"/>
      <c r="F56" s="8"/>
      <c r="G56" s="8"/>
      <c r="H56" s="8"/>
      <c r="I56" s="8"/>
      <c r="J56" s="8"/>
      <c r="K56" s="8"/>
      <c r="L56" s="8"/>
      <c r="M56" s="8"/>
      <c r="N56" s="8"/>
      <c r="O56" s="8"/>
      <c r="P56" s="8"/>
      <c r="Q56" s="8"/>
      <c r="R56" s="8"/>
      <c r="S56" s="8"/>
      <c r="T56" s="8"/>
      <c r="U56" s="9"/>
      <c r="V56" s="46"/>
    </row>
    <row r="57" spans="1:23" ht="15" customHeight="1">
      <c r="A57" s="46"/>
      <c r="B57" s="116" t="s">
        <v>234</v>
      </c>
      <c r="C57" s="117"/>
      <c r="D57" s="76"/>
      <c r="E57" s="85"/>
      <c r="F57" s="11"/>
      <c r="G57" s="11"/>
      <c r="H57" s="11"/>
      <c r="I57" s="15">
        <v>8</v>
      </c>
      <c r="J57" s="15" t="s">
        <v>238</v>
      </c>
      <c r="K57" s="11"/>
      <c r="L57" s="11"/>
      <c r="M57" s="11"/>
      <c r="N57" s="11"/>
      <c r="O57" s="11"/>
      <c r="P57" s="11"/>
      <c r="Q57" s="11"/>
      <c r="R57" s="11"/>
      <c r="S57" s="11"/>
      <c r="T57" s="11"/>
      <c r="U57" s="12"/>
      <c r="V57" s="46"/>
    </row>
    <row r="58" spans="1:23" ht="15" customHeight="1">
      <c r="A58" s="46"/>
      <c r="B58" s="116" t="s">
        <v>235</v>
      </c>
      <c r="C58" s="66"/>
      <c r="D58" s="76"/>
      <c r="E58" s="85"/>
      <c r="F58" s="11"/>
      <c r="G58" s="11"/>
      <c r="H58" s="11"/>
      <c r="I58" s="15">
        <v>60</v>
      </c>
      <c r="J58" s="15" t="s">
        <v>239</v>
      </c>
      <c r="K58" s="11" t="s">
        <v>240</v>
      </c>
      <c r="L58" s="11"/>
      <c r="M58" s="11"/>
      <c r="N58" s="118">
        <f>(SUM(F45:F55)+SUM(K38:K55)+SUM(P38:P55)+SUM(T38:T43))*$P$32</f>
        <v>9391464080.9666901</v>
      </c>
      <c r="O58" s="11"/>
      <c r="P58" s="11"/>
      <c r="Q58" s="11"/>
      <c r="R58" s="11"/>
      <c r="S58" s="11"/>
      <c r="T58" s="11"/>
      <c r="U58" s="12"/>
      <c r="V58" s="46"/>
    </row>
    <row r="59" spans="1:23" ht="15" customHeight="1">
      <c r="A59" s="46"/>
      <c r="B59" s="116"/>
      <c r="C59" s="66"/>
      <c r="D59" s="76"/>
      <c r="E59" s="85"/>
      <c r="F59" s="11"/>
      <c r="G59" s="11"/>
      <c r="H59" s="11"/>
      <c r="I59" s="15"/>
      <c r="J59" s="15"/>
      <c r="K59" s="11"/>
      <c r="L59" s="11"/>
      <c r="M59" s="11"/>
      <c r="N59" s="118"/>
      <c r="O59" s="11"/>
      <c r="P59" s="11"/>
      <c r="Q59" s="11"/>
      <c r="R59" s="11"/>
      <c r="S59" s="11"/>
      <c r="T59" s="11"/>
      <c r="U59" s="12"/>
      <c r="V59" s="46"/>
    </row>
    <row r="60" spans="1:23">
      <c r="A60" s="46"/>
      <c r="B60" s="116"/>
      <c r="C60" s="66"/>
      <c r="D60" s="76"/>
      <c r="E60" s="85"/>
      <c r="F60" s="11"/>
      <c r="G60" s="11"/>
      <c r="H60" s="11"/>
      <c r="I60" s="11"/>
      <c r="J60" s="11"/>
      <c r="K60" s="11"/>
      <c r="L60" s="11"/>
      <c r="M60" s="11"/>
      <c r="N60" s="11"/>
      <c r="O60" s="11"/>
      <c r="P60" s="11"/>
      <c r="Q60" s="11"/>
      <c r="R60" s="11"/>
      <c r="S60" s="11"/>
      <c r="T60" s="11"/>
      <c r="U60" s="12"/>
      <c r="V60" s="46"/>
    </row>
    <row r="61" spans="1:23" ht="16.5">
      <c r="A61" s="46"/>
      <c r="B61" s="116" t="s">
        <v>241</v>
      </c>
      <c r="C61" s="66"/>
      <c r="D61" s="76"/>
      <c r="E61" s="85"/>
      <c r="F61" s="158" t="s">
        <v>291</v>
      </c>
      <c r="G61" s="147">
        <f>10*LOG10((1/D15)*N58)</f>
        <v>95.483700962640995</v>
      </c>
      <c r="H61" s="113" t="s">
        <v>28</v>
      </c>
      <c r="I61" s="11"/>
      <c r="J61" s="11"/>
      <c r="K61" s="11"/>
      <c r="L61" s="11"/>
      <c r="M61" s="11"/>
      <c r="N61" s="11"/>
      <c r="O61" s="11"/>
      <c r="P61" s="11"/>
      <c r="Q61" s="11"/>
      <c r="R61" s="11"/>
      <c r="S61" s="11"/>
      <c r="T61" s="11"/>
      <c r="U61" s="12"/>
      <c r="V61" s="46"/>
    </row>
    <row r="62" spans="1:23">
      <c r="A62" s="46"/>
      <c r="B62" s="116"/>
      <c r="C62" s="66"/>
      <c r="D62" s="66"/>
      <c r="E62" s="85"/>
      <c r="F62" s="11"/>
      <c r="G62" s="11"/>
      <c r="H62" s="11"/>
      <c r="I62" s="11"/>
      <c r="J62" s="11"/>
      <c r="K62" s="11"/>
      <c r="L62" s="11"/>
      <c r="M62" s="11"/>
      <c r="N62" s="11"/>
      <c r="O62" s="11"/>
      <c r="P62" s="11"/>
      <c r="Q62" s="11"/>
      <c r="R62" s="11"/>
      <c r="S62" s="11"/>
      <c r="T62" s="11"/>
      <c r="U62" s="12"/>
      <c r="V62" s="46"/>
    </row>
    <row r="63" spans="1:23">
      <c r="A63" s="46"/>
      <c r="B63" s="119"/>
      <c r="C63" s="120"/>
      <c r="D63" s="121"/>
      <c r="E63" s="122"/>
      <c r="F63" s="18"/>
      <c r="G63" s="18"/>
      <c r="H63" s="18"/>
      <c r="I63" s="18"/>
      <c r="J63" s="18"/>
      <c r="K63" s="18"/>
      <c r="L63" s="18"/>
      <c r="M63" s="18"/>
      <c r="N63" s="18"/>
      <c r="O63" s="18"/>
      <c r="P63" s="18"/>
      <c r="Q63" s="18"/>
      <c r="R63" s="18"/>
      <c r="S63" s="18"/>
      <c r="T63" s="18"/>
      <c r="U63" s="19"/>
      <c r="V63" s="46"/>
    </row>
    <row r="64" spans="1:23">
      <c r="A64" s="46"/>
      <c r="B64" s="79"/>
      <c r="C64" s="82"/>
      <c r="D64" s="82"/>
      <c r="E64" s="85"/>
      <c r="F64" s="11"/>
      <c r="G64" s="46"/>
      <c r="H64" s="46"/>
      <c r="I64" s="46"/>
      <c r="J64" s="46"/>
      <c r="K64" s="46"/>
      <c r="L64" s="46"/>
      <c r="M64" s="46"/>
      <c r="N64" s="46"/>
      <c r="O64" s="46"/>
      <c r="P64" s="46"/>
      <c r="Q64" s="46"/>
      <c r="R64" s="46"/>
      <c r="S64" s="46"/>
      <c r="T64" s="46"/>
      <c r="U64" s="46"/>
      <c r="V64" s="46"/>
      <c r="W64" s="46"/>
    </row>
    <row r="65" spans="1:22">
      <c r="A65" s="46"/>
      <c r="B65" s="132" t="s">
        <v>255</v>
      </c>
      <c r="C65" s="133"/>
      <c r="D65" s="133"/>
      <c r="E65" s="134"/>
      <c r="F65" s="8"/>
      <c r="G65" s="8"/>
      <c r="H65" s="8"/>
      <c r="I65" s="8"/>
      <c r="J65" s="8"/>
      <c r="K65" s="8"/>
      <c r="L65" s="8"/>
      <c r="M65" s="8"/>
      <c r="N65" s="8"/>
      <c r="O65" s="8"/>
      <c r="P65" s="8" t="s">
        <v>452</v>
      </c>
      <c r="Q65" s="8"/>
      <c r="R65" s="8"/>
      <c r="S65" s="8"/>
      <c r="T65" s="8"/>
      <c r="U65" s="9"/>
      <c r="V65" s="46"/>
    </row>
    <row r="66" spans="1:22" ht="44" customHeight="1">
      <c r="A66" s="46"/>
      <c r="B66" s="116"/>
      <c r="C66" s="66"/>
      <c r="D66" s="66"/>
      <c r="E66" s="398" t="s">
        <v>40</v>
      </c>
      <c r="F66" s="398" t="s">
        <v>41</v>
      </c>
      <c r="G66" s="398" t="s">
        <v>256</v>
      </c>
      <c r="H66" s="538" t="s">
        <v>267</v>
      </c>
      <c r="I66" s="501"/>
      <c r="J66" s="454"/>
      <c r="K66" s="455"/>
      <c r="L66" s="505"/>
      <c r="M66" s="504" t="s">
        <v>264</v>
      </c>
      <c r="N66" s="506"/>
      <c r="O66" s="11"/>
      <c r="P66" s="73" t="s">
        <v>716</v>
      </c>
      <c r="Q66" s="220"/>
      <c r="R66" s="220"/>
      <c r="S66" s="220"/>
      <c r="T66" s="220"/>
      <c r="U66" s="12"/>
      <c r="V66" s="46"/>
    </row>
    <row r="67" spans="1:22" ht="20.149999999999999" customHeight="1">
      <c r="A67" s="46"/>
      <c r="B67" s="116"/>
      <c r="C67" s="135"/>
      <c r="D67" s="66"/>
      <c r="E67" s="512"/>
      <c r="F67" s="512"/>
      <c r="G67" s="512"/>
      <c r="H67" s="396" t="s">
        <v>257</v>
      </c>
      <c r="I67" s="167" t="s">
        <v>258</v>
      </c>
      <c r="J67" s="167" t="s">
        <v>259</v>
      </c>
      <c r="K67" s="605" t="s">
        <v>260</v>
      </c>
      <c r="L67" s="429"/>
      <c r="M67" s="503"/>
      <c r="N67" s="430"/>
      <c r="O67" s="11"/>
      <c r="P67" s="73" t="s">
        <v>717</v>
      </c>
      <c r="Q67" s="220"/>
      <c r="R67" s="220"/>
      <c r="S67" s="220"/>
      <c r="T67" s="220"/>
      <c r="U67" s="12"/>
      <c r="V67" s="46"/>
    </row>
    <row r="68" spans="1:22">
      <c r="A68" s="46"/>
      <c r="B68" s="116"/>
      <c r="C68" s="66"/>
      <c r="D68" s="66"/>
      <c r="E68" s="587">
        <v>1</v>
      </c>
      <c r="F68" s="502">
        <v>7.5</v>
      </c>
      <c r="G68" s="502">
        <v>1.2</v>
      </c>
      <c r="H68" s="96"/>
      <c r="I68" s="96" t="s">
        <v>263</v>
      </c>
      <c r="J68" s="96"/>
      <c r="K68" s="96"/>
      <c r="L68" s="694" t="s">
        <v>268</v>
      </c>
      <c r="M68" s="695"/>
      <c r="N68" s="649"/>
      <c r="O68" s="11"/>
      <c r="P68" s="374" t="s">
        <v>718</v>
      </c>
      <c r="Q68" s="215"/>
      <c r="R68" s="215"/>
      <c r="S68" s="215"/>
      <c r="T68" s="215"/>
      <c r="U68" s="12"/>
      <c r="V68" s="46"/>
    </row>
    <row r="69" spans="1:22">
      <c r="A69" s="46"/>
      <c r="B69" s="116"/>
      <c r="C69" s="66"/>
      <c r="D69" s="66"/>
      <c r="E69" s="69">
        <v>2</v>
      </c>
      <c r="F69" s="96">
        <v>7.5</v>
      </c>
      <c r="G69" s="96">
        <v>3.5</v>
      </c>
      <c r="H69" s="96"/>
      <c r="I69" s="96" t="s">
        <v>263</v>
      </c>
      <c r="J69" s="96"/>
      <c r="K69" s="96"/>
      <c r="L69" s="508" t="s">
        <v>269</v>
      </c>
      <c r="M69" s="508"/>
      <c r="N69" s="508"/>
      <c r="O69" s="11"/>
      <c r="P69" s="376" t="s">
        <v>720</v>
      </c>
      <c r="Q69" s="215"/>
      <c r="R69" s="215"/>
      <c r="S69" s="215"/>
      <c r="T69" s="215"/>
      <c r="U69" s="12"/>
      <c r="V69" s="46"/>
    </row>
    <row r="70" spans="1:22">
      <c r="A70" s="46"/>
      <c r="B70" s="116"/>
      <c r="C70" s="66"/>
      <c r="D70" s="66"/>
      <c r="E70" s="69">
        <v>3</v>
      </c>
      <c r="F70" s="96">
        <v>25</v>
      </c>
      <c r="G70" s="96">
        <v>3.5</v>
      </c>
      <c r="H70" s="96"/>
      <c r="I70" s="96" t="s">
        <v>262</v>
      </c>
      <c r="J70" s="96"/>
      <c r="K70" s="281" t="s">
        <v>261</v>
      </c>
      <c r="L70" s="508" t="s">
        <v>265</v>
      </c>
      <c r="M70" s="508"/>
      <c r="N70" s="508"/>
      <c r="O70" s="11"/>
      <c r="P70" s="375" t="s">
        <v>719</v>
      </c>
      <c r="Q70" s="215"/>
      <c r="R70" s="215"/>
      <c r="S70" s="215"/>
      <c r="T70" s="215"/>
      <c r="U70" s="12"/>
      <c r="V70" s="46"/>
    </row>
    <row r="71" spans="1:22">
      <c r="A71" s="46"/>
      <c r="B71" s="116"/>
      <c r="C71" s="66"/>
      <c r="D71" s="66"/>
      <c r="E71" s="69">
        <v>4</v>
      </c>
      <c r="F71" s="96">
        <v>30</v>
      </c>
      <c r="G71" s="96">
        <v>1.2</v>
      </c>
      <c r="H71" s="96" t="s">
        <v>261</v>
      </c>
      <c r="I71" s="96"/>
      <c r="J71" s="96" t="s">
        <v>261</v>
      </c>
      <c r="K71" s="96"/>
      <c r="L71" s="508" t="s">
        <v>436</v>
      </c>
      <c r="M71" s="508"/>
      <c r="N71" s="508"/>
      <c r="O71" s="11"/>
      <c r="P71" s="374" t="s">
        <v>721</v>
      </c>
      <c r="Q71" s="213"/>
      <c r="R71" s="213"/>
      <c r="S71" s="213"/>
      <c r="T71" s="213"/>
      <c r="U71" s="12"/>
      <c r="V71" s="46"/>
    </row>
    <row r="72" spans="1:22" ht="19.5" customHeight="1">
      <c r="A72" s="46"/>
      <c r="B72" s="116"/>
      <c r="C72" s="136" t="s">
        <v>714</v>
      </c>
      <c r="D72" s="66"/>
      <c r="E72" s="109"/>
      <c r="F72" s="125"/>
      <c r="G72" s="125"/>
      <c r="H72" s="11"/>
      <c r="I72" s="11"/>
      <c r="J72" s="11"/>
      <c r="K72" s="11"/>
      <c r="L72" s="11"/>
      <c r="M72" s="11"/>
      <c r="N72" s="11"/>
      <c r="O72" s="11"/>
      <c r="P72" s="376" t="s">
        <v>722</v>
      </c>
      <c r="Q72" s="11"/>
      <c r="R72" s="11"/>
      <c r="S72" s="11"/>
      <c r="T72" s="11"/>
      <c r="U72" s="12"/>
      <c r="V72" s="46"/>
    </row>
    <row r="73" spans="1:22">
      <c r="A73" s="46"/>
      <c r="B73" s="116"/>
      <c r="C73" s="136" t="s">
        <v>715</v>
      </c>
      <c r="D73" s="66"/>
      <c r="E73" s="109"/>
      <c r="F73" s="11"/>
      <c r="G73" s="11"/>
      <c r="H73" s="11"/>
      <c r="I73" s="11"/>
      <c r="J73" s="11"/>
      <c r="K73" s="11"/>
      <c r="L73" s="11"/>
      <c r="M73" s="11"/>
      <c r="N73" s="11"/>
      <c r="O73" s="11"/>
      <c r="P73" s="376" t="s">
        <v>723</v>
      </c>
      <c r="Q73" s="11"/>
      <c r="R73" s="11"/>
      <c r="S73" s="11"/>
      <c r="T73" s="11"/>
      <c r="U73" s="12"/>
      <c r="V73" s="46"/>
    </row>
    <row r="74" spans="1:22" ht="39.5" customHeight="1">
      <c r="A74" s="46"/>
      <c r="B74" s="116"/>
      <c r="C74" s="66"/>
      <c r="D74" s="66"/>
      <c r="E74" s="398" t="s">
        <v>40</v>
      </c>
      <c r="F74" s="398" t="s">
        <v>41</v>
      </c>
      <c r="G74" s="398" t="s">
        <v>256</v>
      </c>
      <c r="H74" s="518" t="s">
        <v>806</v>
      </c>
      <c r="I74" s="415"/>
      <c r="J74" s="518" t="s">
        <v>807</v>
      </c>
      <c r="K74" s="415"/>
      <c r="L74" s="11"/>
      <c r="M74" s="11"/>
      <c r="N74" s="11"/>
      <c r="O74" s="11"/>
      <c r="P74" s="633"/>
      <c r="Q74" s="518" t="s">
        <v>819</v>
      </c>
      <c r="R74" s="513"/>
      <c r="S74" s="513"/>
      <c r="T74" s="514"/>
      <c r="U74" s="634"/>
      <c r="V74" s="46"/>
    </row>
    <row r="75" spans="1:22" ht="16" customHeight="1">
      <c r="A75" s="46"/>
      <c r="B75" s="116"/>
      <c r="C75" s="66"/>
      <c r="D75" s="66"/>
      <c r="E75" s="512"/>
      <c r="F75" s="512"/>
      <c r="G75" s="512"/>
      <c r="H75" s="672"/>
      <c r="I75" s="510"/>
      <c r="J75" s="672"/>
      <c r="K75" s="510"/>
      <c r="L75" s="11"/>
      <c r="M75" s="123" t="s">
        <v>271</v>
      </c>
      <c r="N75" s="11"/>
      <c r="O75" s="11"/>
      <c r="P75" s="11"/>
      <c r="Q75" s="622" t="s">
        <v>809</v>
      </c>
      <c r="R75" s="588"/>
      <c r="S75" s="588"/>
      <c r="T75" s="516"/>
      <c r="U75" s="634"/>
      <c r="V75" s="46"/>
    </row>
    <row r="76" spans="1:22" ht="15" customHeight="1">
      <c r="A76" s="46"/>
      <c r="B76" s="116"/>
      <c r="C76" s="66"/>
      <c r="D76" s="66"/>
      <c r="E76" s="587">
        <v>1</v>
      </c>
      <c r="F76" s="502">
        <v>7.5</v>
      </c>
      <c r="G76" s="697">
        <v>1.2</v>
      </c>
      <c r="H76" s="701"/>
      <c r="I76" s="707">
        <v>93.2</v>
      </c>
      <c r="J76" s="701"/>
      <c r="K76" s="718">
        <f>0.00002*10^(I76/20)</f>
        <v>0.9141763792297517</v>
      </c>
      <c r="L76" s="11"/>
      <c r="M76" s="11" t="s">
        <v>270</v>
      </c>
      <c r="N76" s="11"/>
      <c r="O76" s="11"/>
      <c r="P76" s="11"/>
      <c r="Q76" s="591" t="s">
        <v>399</v>
      </c>
      <c r="R76" s="590" t="s">
        <v>403</v>
      </c>
      <c r="S76" s="503"/>
      <c r="T76" s="430"/>
      <c r="U76" s="635"/>
      <c r="V76" s="46"/>
    </row>
    <row r="77" spans="1:22">
      <c r="A77" s="46"/>
      <c r="B77" s="116"/>
      <c r="C77" s="66"/>
      <c r="D77" s="66"/>
      <c r="E77" s="69">
        <v>2</v>
      </c>
      <c r="F77" s="96">
        <v>7.5</v>
      </c>
      <c r="G77" s="698">
        <v>3.5</v>
      </c>
      <c r="H77" s="701"/>
      <c r="I77" s="707">
        <v>95.8</v>
      </c>
      <c r="J77" s="701"/>
      <c r="K77" s="718">
        <f>0.00002*10^(I77/20)</f>
        <v>1.2331900037229651</v>
      </c>
      <c r="L77" s="11"/>
      <c r="M77" s="112" t="s">
        <v>724</v>
      </c>
      <c r="N77" s="11"/>
      <c r="O77" s="11"/>
      <c r="P77" s="11"/>
      <c r="Q77" s="471"/>
      <c r="R77" s="167" t="s">
        <v>400</v>
      </c>
      <c r="S77" s="469" t="s">
        <v>401</v>
      </c>
      <c r="T77" s="469" t="s">
        <v>402</v>
      </c>
      <c r="U77" s="12"/>
      <c r="V77" s="46"/>
    </row>
    <row r="78" spans="1:22">
      <c r="A78" s="46"/>
      <c r="B78" s="116"/>
      <c r="C78" s="66"/>
      <c r="D78" s="66"/>
      <c r="E78" s="69">
        <v>3</v>
      </c>
      <c r="F78" s="96">
        <v>25</v>
      </c>
      <c r="G78" s="698">
        <v>3.5</v>
      </c>
      <c r="H78" s="701"/>
      <c r="I78" s="708">
        <v>82.08</v>
      </c>
      <c r="J78" s="701"/>
      <c r="K78" s="718">
        <f>0.00002*10^(I78/20)</f>
        <v>0.25411482104170857</v>
      </c>
      <c r="L78" s="11"/>
      <c r="M78" s="11" t="s">
        <v>725</v>
      </c>
      <c r="N78" s="11"/>
      <c r="O78" s="11"/>
      <c r="P78" s="11"/>
      <c r="Q78" s="178">
        <v>271</v>
      </c>
      <c r="R78" s="179">
        <v>93.2</v>
      </c>
      <c r="S78" s="179">
        <v>95.8</v>
      </c>
      <c r="T78" s="179">
        <v>82</v>
      </c>
      <c r="U78" s="12"/>
      <c r="V78" s="46"/>
    </row>
    <row r="79" spans="1:22">
      <c r="A79" s="46"/>
      <c r="B79" s="116"/>
      <c r="C79" s="66"/>
      <c r="D79" s="66"/>
      <c r="E79" s="69">
        <v>4</v>
      </c>
      <c r="F79" s="96">
        <v>30</v>
      </c>
      <c r="G79" s="698">
        <v>1.2</v>
      </c>
      <c r="H79" s="17"/>
      <c r="I79" s="708">
        <f>I78-10*LOG10(F79/F78)</f>
        <v>81.288187539523747</v>
      </c>
      <c r="J79" s="17"/>
      <c r="K79" s="718">
        <f>0.00002*10^(I79/20)</f>
        <v>0.23197403280155368</v>
      </c>
      <c r="L79" s="11"/>
      <c r="M79" s="11" t="s">
        <v>726</v>
      </c>
      <c r="N79" s="11"/>
      <c r="O79" s="11"/>
      <c r="P79" s="11"/>
      <c r="Q79" s="178">
        <v>341</v>
      </c>
      <c r="R79" s="179">
        <v>96.5</v>
      </c>
      <c r="S79" s="179">
        <v>98</v>
      </c>
      <c r="T79" s="179">
        <v>85.5</v>
      </c>
      <c r="U79" s="12"/>
      <c r="V79" s="46"/>
    </row>
    <row r="80" spans="1:22">
      <c r="A80" s="46"/>
      <c r="B80" s="116"/>
      <c r="C80" s="76"/>
      <c r="D80" s="66"/>
      <c r="E80" s="139" t="s">
        <v>86</v>
      </c>
      <c r="F80" s="11"/>
      <c r="G80" s="11"/>
      <c r="H80" s="11"/>
      <c r="I80" s="11"/>
      <c r="J80" s="11"/>
      <c r="K80" s="11"/>
      <c r="L80" s="11"/>
      <c r="M80" s="18" t="s">
        <v>727</v>
      </c>
      <c r="N80" s="18"/>
      <c r="O80" s="18"/>
      <c r="P80" s="18"/>
      <c r="Q80" s="178">
        <v>386</v>
      </c>
      <c r="R80" s="179">
        <v>98.5</v>
      </c>
      <c r="S80" s="179">
        <v>100.1</v>
      </c>
      <c r="T80" s="179">
        <v>88.1</v>
      </c>
      <c r="U80" s="12"/>
      <c r="V80" s="46"/>
    </row>
    <row r="81" spans="1:22">
      <c r="A81" s="46"/>
      <c r="B81" s="119"/>
      <c r="C81" s="120"/>
      <c r="D81" s="137"/>
      <c r="E81" s="138"/>
      <c r="F81" s="18"/>
      <c r="G81" s="18"/>
      <c r="H81" s="18"/>
      <c r="I81" s="18"/>
      <c r="J81" s="18"/>
      <c r="K81" s="18"/>
      <c r="L81" s="18"/>
      <c r="M81" s="18"/>
      <c r="N81" s="18"/>
      <c r="O81" s="18"/>
      <c r="P81" s="18"/>
      <c r="Q81" s="18"/>
      <c r="R81" s="18"/>
      <c r="S81" s="18"/>
      <c r="T81" s="18"/>
      <c r="U81" s="19"/>
      <c r="V81" s="46"/>
    </row>
    <row r="82" spans="1:22">
      <c r="A82" s="46"/>
      <c r="B82" s="76"/>
      <c r="C82" s="76"/>
      <c r="D82" s="66"/>
      <c r="E82" s="139"/>
      <c r="F82" s="11"/>
      <c r="G82" s="11"/>
      <c r="H82" s="11"/>
      <c r="I82" s="11"/>
      <c r="J82" s="11"/>
      <c r="K82" s="11"/>
      <c r="L82" s="11"/>
      <c r="M82" s="11"/>
      <c r="N82" s="11"/>
      <c r="O82" s="11"/>
      <c r="P82" s="11"/>
      <c r="Q82" s="11"/>
      <c r="R82" s="11"/>
      <c r="S82" s="11"/>
      <c r="T82" s="11"/>
      <c r="U82" s="11"/>
      <c r="V82" s="46"/>
    </row>
    <row r="83" spans="1:22">
      <c r="A83" s="46"/>
      <c r="B83" s="132" t="s">
        <v>272</v>
      </c>
      <c r="C83" s="140"/>
      <c r="D83" s="133"/>
      <c r="E83" s="141"/>
      <c r="F83" s="8"/>
      <c r="G83" s="8"/>
      <c r="H83" s="8"/>
      <c r="I83" s="8"/>
      <c r="J83" s="8"/>
      <c r="K83" s="8"/>
      <c r="L83" s="8"/>
      <c r="M83" s="8"/>
      <c r="N83" s="8"/>
      <c r="O83" s="8"/>
      <c r="P83" s="8"/>
      <c r="Q83" s="8"/>
      <c r="R83" s="8"/>
      <c r="S83" s="8"/>
      <c r="T83" s="8"/>
      <c r="U83" s="9"/>
      <c r="V83" s="46"/>
    </row>
    <row r="84" spans="1:22" ht="16.5">
      <c r="A84" s="46"/>
      <c r="B84" s="116" t="s">
        <v>282</v>
      </c>
      <c r="C84" s="76"/>
      <c r="D84" s="66"/>
      <c r="E84" s="139"/>
      <c r="F84" s="11"/>
      <c r="G84" s="11"/>
      <c r="H84" s="158" t="s">
        <v>710</v>
      </c>
      <c r="I84" s="11" t="s">
        <v>711</v>
      </c>
      <c r="J84" s="11"/>
      <c r="K84" s="11"/>
      <c r="L84" s="11"/>
      <c r="M84" s="11"/>
      <c r="N84" s="11" t="s">
        <v>86</v>
      </c>
      <c r="O84" s="11"/>
      <c r="P84" s="11"/>
      <c r="Q84" s="11"/>
      <c r="R84" s="11"/>
      <c r="S84" s="11"/>
      <c r="T84" s="11"/>
      <c r="U84" s="12"/>
      <c r="V84" s="46"/>
    </row>
    <row r="85" spans="1:22" ht="16.5">
      <c r="A85" s="46"/>
      <c r="B85" s="145" t="s">
        <v>712</v>
      </c>
      <c r="C85" s="158"/>
      <c r="D85" s="200">
        <f>MAX('Passby Data Set 3'!D24:D94)</f>
        <v>97.2</v>
      </c>
      <c r="E85" s="143" t="s">
        <v>28</v>
      </c>
      <c r="F85" s="11" t="s">
        <v>273</v>
      </c>
      <c r="G85" s="11"/>
      <c r="H85" s="15">
        <v>21</v>
      </c>
      <c r="I85" s="11" t="s">
        <v>812</v>
      </c>
      <c r="K85" s="107">
        <v>2.2000000000000002</v>
      </c>
      <c r="L85" s="11" t="s">
        <v>237</v>
      </c>
      <c r="M85" s="11"/>
      <c r="N85" s="11"/>
      <c r="O85" s="11"/>
      <c r="P85" s="11"/>
      <c r="Q85" s="11"/>
      <c r="R85" s="11"/>
      <c r="S85" s="11"/>
      <c r="T85" s="11"/>
      <c r="U85" s="12"/>
      <c r="V85" s="46"/>
    </row>
    <row r="86" spans="1:22">
      <c r="A86" s="46"/>
      <c r="B86" s="116"/>
      <c r="C86" s="76"/>
      <c r="D86" s="66"/>
      <c r="E86" s="143"/>
      <c r="F86" s="11"/>
      <c r="G86" s="11"/>
      <c r="H86" s="15"/>
      <c r="I86" s="11"/>
      <c r="J86" s="107"/>
      <c r="K86" s="11"/>
      <c r="L86" s="11"/>
      <c r="M86" s="11"/>
      <c r="N86" s="11"/>
      <c r="O86" s="11"/>
      <c r="P86" s="11"/>
      <c r="Q86" s="11"/>
      <c r="R86" s="11"/>
      <c r="S86" s="11"/>
      <c r="T86" s="11"/>
      <c r="U86" s="12"/>
      <c r="V86" s="46"/>
    </row>
    <row r="87" spans="1:22" ht="16.5">
      <c r="A87" s="46"/>
      <c r="B87" s="144" t="s">
        <v>274</v>
      </c>
      <c r="C87" s="76"/>
      <c r="D87" s="66"/>
      <c r="E87" s="143"/>
      <c r="F87" s="11"/>
      <c r="G87" s="11"/>
      <c r="H87" s="15"/>
      <c r="I87" s="11"/>
      <c r="J87" s="107"/>
      <c r="K87" s="11"/>
      <c r="L87" s="11"/>
      <c r="M87" s="11"/>
      <c r="N87" s="11"/>
      <c r="O87" s="11"/>
      <c r="P87" s="11"/>
      <c r="Q87" s="11"/>
      <c r="R87" s="11"/>
      <c r="S87" s="11"/>
      <c r="T87" s="11"/>
      <c r="U87" s="12"/>
      <c r="V87" s="46"/>
    </row>
    <row r="88" spans="1:22">
      <c r="A88" s="46"/>
      <c r="B88" s="145"/>
      <c r="C88" s="76"/>
      <c r="D88" s="66"/>
      <c r="E88" s="139"/>
      <c r="F88" s="11"/>
      <c r="G88" s="11"/>
      <c r="H88" s="11"/>
      <c r="I88" s="11"/>
      <c r="J88" s="11"/>
      <c r="K88" s="11"/>
      <c r="L88" s="11"/>
      <c r="M88" s="11" t="s">
        <v>190</v>
      </c>
      <c r="N88" s="11"/>
      <c r="O88" s="11"/>
      <c r="P88" s="11"/>
      <c r="Q88" s="11"/>
      <c r="R88" s="11"/>
      <c r="S88" s="11"/>
      <c r="T88" s="11"/>
      <c r="U88" s="12"/>
      <c r="V88" s="46"/>
    </row>
    <row r="89" spans="1:22" ht="16.5">
      <c r="A89" s="46"/>
      <c r="B89" s="116" t="s">
        <v>275</v>
      </c>
      <c r="C89" s="76"/>
      <c r="D89" s="66"/>
      <c r="E89" s="139"/>
      <c r="F89" s="11"/>
      <c r="G89" s="11"/>
      <c r="H89" s="11"/>
      <c r="I89" s="11"/>
      <c r="J89" s="11"/>
      <c r="K89" s="11"/>
      <c r="L89" s="11" t="s">
        <v>278</v>
      </c>
      <c r="M89" s="11"/>
      <c r="N89" s="11"/>
      <c r="O89" s="11"/>
      <c r="P89" s="11"/>
      <c r="Q89" s="11"/>
      <c r="R89" s="11"/>
      <c r="S89" s="11"/>
      <c r="T89" s="11"/>
      <c r="U89" s="12"/>
      <c r="V89" s="46"/>
    </row>
    <row r="90" spans="1:22">
      <c r="A90" s="46"/>
      <c r="B90" s="116"/>
      <c r="C90" s="76"/>
      <c r="D90" s="66"/>
      <c r="E90" s="139"/>
      <c r="F90" s="11"/>
      <c r="G90" s="11"/>
      <c r="H90" s="11"/>
      <c r="I90" s="11"/>
      <c r="J90" s="11"/>
      <c r="K90" s="11"/>
      <c r="L90" s="11" t="s">
        <v>820</v>
      </c>
      <c r="M90" s="11"/>
      <c r="N90" s="11"/>
      <c r="O90" s="11"/>
      <c r="P90" s="11"/>
      <c r="Q90" s="11"/>
      <c r="R90" s="11"/>
      <c r="S90" s="11"/>
      <c r="T90" s="11"/>
      <c r="U90" s="12"/>
      <c r="V90" s="46"/>
    </row>
    <row r="91" spans="1:22" ht="16.5">
      <c r="A91" s="46"/>
      <c r="B91" s="116" t="s">
        <v>276</v>
      </c>
      <c r="C91" s="76"/>
      <c r="D91" s="66"/>
      <c r="E91" s="139"/>
      <c r="F91" s="15">
        <v>1.95</v>
      </c>
      <c r="G91" s="11" t="s">
        <v>277</v>
      </c>
      <c r="H91" s="11">
        <v>2.95</v>
      </c>
      <c r="I91" s="11"/>
      <c r="J91" s="112" t="s">
        <v>284</v>
      </c>
      <c r="K91" s="112"/>
      <c r="L91" s="147">
        <f t="array" ref="L91">10*LOG(AVERAGE(10^('Passby Data Set 3'!D43:D63/10)))</f>
        <v>96.416006217916689</v>
      </c>
      <c r="M91" s="113" t="s">
        <v>28</v>
      </c>
      <c r="N91" s="51"/>
      <c r="O91" s="11"/>
      <c r="P91" s="11"/>
      <c r="Q91" s="11"/>
      <c r="R91" s="11"/>
      <c r="S91" s="11"/>
      <c r="T91" s="11"/>
      <c r="U91" s="12"/>
      <c r="V91" s="46"/>
    </row>
    <row r="92" spans="1:22" ht="16.5">
      <c r="A92" s="46"/>
      <c r="B92" s="116" t="s">
        <v>280</v>
      </c>
      <c r="C92" s="76"/>
      <c r="D92" s="66"/>
      <c r="E92" s="139"/>
      <c r="F92" s="11"/>
      <c r="G92" s="11"/>
      <c r="H92" s="11"/>
      <c r="I92" s="11"/>
      <c r="J92" s="11"/>
      <c r="K92" s="11"/>
      <c r="L92" s="11"/>
      <c r="M92" s="11"/>
      <c r="N92" s="11"/>
      <c r="O92" s="11"/>
      <c r="P92" s="11"/>
      <c r="Q92" s="11"/>
      <c r="R92" s="11"/>
      <c r="S92" s="11"/>
      <c r="T92" s="11"/>
      <c r="U92" s="12"/>
      <c r="V92" s="46"/>
    </row>
    <row r="93" spans="1:22" ht="16.5">
      <c r="A93" s="46"/>
      <c r="B93" s="119" t="s">
        <v>281</v>
      </c>
      <c r="C93" s="120"/>
      <c r="D93" s="137"/>
      <c r="E93" s="138"/>
      <c r="F93" s="18"/>
      <c r="G93" s="146">
        <v>1.9</v>
      </c>
      <c r="H93" s="108" t="s">
        <v>277</v>
      </c>
      <c r="I93" s="108">
        <v>2.0249999999999999</v>
      </c>
      <c r="J93" s="18"/>
      <c r="K93" s="148" t="s">
        <v>285</v>
      </c>
      <c r="L93" s="149">
        <f t="array" ref="L93">10*LOG(AVERAGE(10^('Passby Data Set 3'!D42:D45/10)))</f>
        <v>96.79109604471202</v>
      </c>
      <c r="M93" s="150" t="s">
        <v>28</v>
      </c>
      <c r="N93" s="18"/>
      <c r="O93" s="18"/>
      <c r="P93" s="18"/>
      <c r="Q93" s="18"/>
      <c r="R93" s="18"/>
      <c r="S93" s="18"/>
      <c r="T93" s="18"/>
      <c r="U93" s="19"/>
      <c r="V93" s="46"/>
    </row>
    <row r="94" spans="1:22">
      <c r="A94" s="46"/>
      <c r="B94" s="79"/>
      <c r="C94" s="79"/>
      <c r="D94" s="82"/>
      <c r="E94" s="126"/>
      <c r="F94" s="46"/>
      <c r="G94" s="46"/>
      <c r="H94" s="46"/>
      <c r="I94" s="46"/>
      <c r="J94" s="46"/>
      <c r="K94" s="46"/>
      <c r="L94" s="46"/>
      <c r="M94" s="46"/>
      <c r="N94" s="46"/>
      <c r="O94" s="46"/>
      <c r="P94" s="46"/>
      <c r="Q94" s="46"/>
      <c r="R94" s="46"/>
      <c r="S94" s="46"/>
      <c r="T94" s="46"/>
      <c r="U94" s="46"/>
      <c r="V94" s="46"/>
    </row>
    <row r="95" spans="1:22">
      <c r="A95" s="46"/>
      <c r="B95" s="132" t="s">
        <v>286</v>
      </c>
      <c r="C95" s="140"/>
      <c r="D95" s="133"/>
      <c r="E95" s="141"/>
      <c r="F95" s="8"/>
      <c r="G95" s="8"/>
      <c r="H95" s="8"/>
      <c r="I95" s="8"/>
      <c r="J95" s="8"/>
      <c r="K95" s="8"/>
      <c r="L95" s="8"/>
      <c r="M95" s="8"/>
      <c r="N95" s="8"/>
      <c r="O95" s="8"/>
      <c r="P95" s="8"/>
      <c r="Q95" s="8"/>
      <c r="R95" s="8"/>
      <c r="S95" s="8"/>
      <c r="T95" s="8"/>
      <c r="U95" s="9"/>
      <c r="V95" s="46"/>
    </row>
    <row r="96" spans="1:22">
      <c r="A96" s="46"/>
      <c r="B96" s="116" t="s">
        <v>282</v>
      </c>
      <c r="C96" s="76"/>
      <c r="D96" s="66"/>
      <c r="E96" s="139"/>
      <c r="F96" s="11"/>
      <c r="G96" s="11"/>
      <c r="H96" s="11"/>
      <c r="I96" s="11"/>
      <c r="J96" s="11"/>
      <c r="K96" s="11"/>
      <c r="L96" s="11"/>
      <c r="M96" s="11"/>
      <c r="N96" s="11"/>
      <c r="O96" s="11"/>
      <c r="P96" s="11"/>
      <c r="Q96" s="11"/>
      <c r="R96" s="11"/>
      <c r="S96" s="11"/>
      <c r="T96" s="11"/>
      <c r="U96" s="12"/>
      <c r="V96" s="46"/>
    </row>
    <row r="97" spans="1:22" ht="15">
      <c r="A97" s="46"/>
      <c r="B97" s="155" t="s">
        <v>813</v>
      </c>
      <c r="C97" s="160"/>
      <c r="D97" s="66"/>
      <c r="E97" s="11"/>
      <c r="F97" s="11"/>
      <c r="G97" s="11"/>
      <c r="H97" s="11"/>
      <c r="I97" s="11"/>
      <c r="J97" s="11"/>
      <c r="K97" s="11"/>
      <c r="L97" s="11"/>
      <c r="M97" s="11"/>
      <c r="N97" s="11"/>
      <c r="O97" s="11"/>
      <c r="P97" s="11"/>
      <c r="Q97" s="11"/>
      <c r="R97" s="11"/>
      <c r="S97" s="11"/>
      <c r="T97" s="11"/>
      <c r="U97" s="12"/>
      <c r="V97" s="46"/>
    </row>
    <row r="98" spans="1:22">
      <c r="A98" s="46"/>
      <c r="B98" s="155" t="s">
        <v>294</v>
      </c>
      <c r="C98" s="160"/>
      <c r="D98" s="66"/>
      <c r="E98" s="11"/>
      <c r="F98" s="11"/>
      <c r="G98" s="11"/>
      <c r="H98" s="11"/>
      <c r="I98" s="11"/>
      <c r="J98" s="11"/>
      <c r="K98" s="11"/>
      <c r="L98" s="11"/>
      <c r="M98" s="11"/>
      <c r="N98" s="11"/>
      <c r="O98" s="11"/>
      <c r="P98" s="11"/>
      <c r="Q98" s="11"/>
      <c r="R98" s="11"/>
      <c r="S98" s="11"/>
      <c r="T98" s="11"/>
      <c r="U98" s="12"/>
      <c r="V98" s="46"/>
    </row>
    <row r="99" spans="1:22">
      <c r="A99" s="46"/>
      <c r="B99" s="116" t="s">
        <v>234</v>
      </c>
      <c r="C99" s="117"/>
      <c r="D99" s="76"/>
      <c r="E99" s="85"/>
      <c r="F99" s="11"/>
      <c r="G99" s="11"/>
      <c r="H99" s="11"/>
      <c r="I99" s="15">
        <v>1</v>
      </c>
      <c r="J99" s="15" t="s">
        <v>238</v>
      </c>
      <c r="K99" s="11"/>
      <c r="L99" s="11"/>
      <c r="M99" s="11"/>
      <c r="N99" s="11"/>
      <c r="O99" s="11"/>
      <c r="P99" s="11"/>
      <c r="Q99" s="11"/>
      <c r="R99" s="11"/>
      <c r="S99" s="11"/>
      <c r="T99" s="11"/>
      <c r="U99" s="12"/>
      <c r="V99" s="46"/>
    </row>
    <row r="100" spans="1:22" ht="16.5">
      <c r="A100" s="46"/>
      <c r="B100" s="116" t="s">
        <v>235</v>
      </c>
      <c r="C100" s="66"/>
      <c r="D100" s="76"/>
      <c r="E100" s="85"/>
      <c r="F100" s="11"/>
      <c r="G100" s="11"/>
      <c r="H100" s="11"/>
      <c r="I100" s="15">
        <v>71</v>
      </c>
      <c r="J100" s="15" t="s">
        <v>239</v>
      </c>
      <c r="K100" s="11" t="s">
        <v>240</v>
      </c>
      <c r="L100" s="11"/>
      <c r="M100" s="11"/>
      <c r="N100" s="118">
        <f>(SUM(F38:F55)+SUM(K38:K55)+SUM(P38:P55)+SUM(U38:U54))*$P$32</f>
        <v>11085716617.085951</v>
      </c>
      <c r="O100" s="11"/>
      <c r="P100" s="11" t="s">
        <v>296</v>
      </c>
      <c r="Q100" s="107">
        <f>R54-C38</f>
        <v>3.5</v>
      </c>
      <c r="R100" s="11" t="s">
        <v>237</v>
      </c>
      <c r="S100" s="11"/>
      <c r="T100" s="11"/>
      <c r="U100" s="12"/>
      <c r="V100" s="46"/>
    </row>
    <row r="101" spans="1:22">
      <c r="A101" s="46"/>
      <c r="B101" s="116"/>
      <c r="C101" s="66"/>
      <c r="D101" s="76"/>
      <c r="E101" s="85"/>
      <c r="F101" s="11"/>
      <c r="G101" s="11"/>
      <c r="H101" s="11"/>
      <c r="I101" s="15"/>
      <c r="J101" s="15"/>
      <c r="K101" s="11"/>
      <c r="L101" s="11"/>
      <c r="M101" s="11"/>
      <c r="N101" s="118"/>
      <c r="O101" s="11"/>
      <c r="P101" s="11"/>
      <c r="Q101" s="11"/>
      <c r="R101" s="11"/>
      <c r="S101" s="11"/>
      <c r="T101" s="11"/>
      <c r="U101" s="12"/>
      <c r="V101" s="46"/>
    </row>
    <row r="102" spans="1:22">
      <c r="A102" s="46"/>
      <c r="B102" s="116"/>
      <c r="C102" s="66"/>
      <c r="D102" s="76"/>
      <c r="E102" s="85"/>
      <c r="F102" s="11"/>
      <c r="G102" s="11"/>
      <c r="H102" s="11"/>
      <c r="I102" s="11"/>
      <c r="J102" s="11"/>
      <c r="K102" s="11"/>
      <c r="L102" s="11"/>
      <c r="M102" s="11"/>
      <c r="N102" s="11"/>
      <c r="O102" s="11"/>
      <c r="P102" s="46"/>
      <c r="Q102" s="11"/>
      <c r="R102" s="11"/>
      <c r="S102" s="11"/>
      <c r="T102" s="11"/>
      <c r="U102" s="12"/>
      <c r="V102" s="46"/>
    </row>
    <row r="103" spans="1:22" ht="16.5">
      <c r="A103" s="46"/>
      <c r="B103" s="116" t="s">
        <v>794</v>
      </c>
      <c r="C103" s="66"/>
      <c r="D103" s="76"/>
      <c r="E103" s="85"/>
      <c r="F103" s="158" t="s">
        <v>795</v>
      </c>
      <c r="G103" s="147">
        <f>10*LOG10((1/Q100)*N100)</f>
        <v>95.006957282275764</v>
      </c>
      <c r="H103" s="113" t="s">
        <v>28</v>
      </c>
      <c r="I103" s="11"/>
      <c r="J103" s="11"/>
      <c r="K103" s="11"/>
      <c r="L103" s="11"/>
      <c r="M103" s="11"/>
      <c r="N103" s="11"/>
      <c r="O103" s="11"/>
      <c r="P103" s="46"/>
      <c r="Q103" s="11"/>
      <c r="R103" s="11"/>
      <c r="S103" s="11"/>
      <c r="T103" s="11"/>
      <c r="U103" s="12"/>
      <c r="V103" s="46"/>
    </row>
    <row r="104" spans="1:22">
      <c r="A104" s="46"/>
      <c r="B104" s="116"/>
      <c r="C104" s="66"/>
      <c r="D104" s="66"/>
      <c r="E104" s="85"/>
      <c r="F104" s="11"/>
      <c r="G104" s="11"/>
      <c r="H104" s="11"/>
      <c r="I104" s="11"/>
      <c r="J104" s="11"/>
      <c r="K104" s="11"/>
      <c r="L104" s="11"/>
      <c r="M104" s="11"/>
      <c r="N104" s="11"/>
      <c r="O104" s="11"/>
      <c r="P104" s="46"/>
      <c r="Q104" s="11"/>
      <c r="R104" s="11"/>
      <c r="S104" s="11"/>
      <c r="T104" s="11"/>
      <c r="U104" s="12"/>
      <c r="V104" s="46"/>
    </row>
    <row r="105" spans="1:22">
      <c r="A105" s="46"/>
      <c r="B105" s="116"/>
      <c r="C105" s="76"/>
      <c r="D105" s="159"/>
      <c r="E105" s="85"/>
      <c r="F105" s="11"/>
      <c r="G105" s="11"/>
      <c r="H105" s="11"/>
      <c r="I105" s="11"/>
      <c r="J105" s="11"/>
      <c r="K105" s="11"/>
      <c r="L105" s="11"/>
      <c r="M105" s="11"/>
      <c r="N105" s="11"/>
      <c r="O105" s="11"/>
      <c r="Q105" s="11"/>
      <c r="R105" s="11"/>
      <c r="S105" s="11"/>
      <c r="T105" s="11"/>
      <c r="U105" s="12"/>
      <c r="V105" s="46"/>
    </row>
    <row r="106" spans="1:22" ht="16.5">
      <c r="A106" s="46"/>
      <c r="B106" s="116" t="s">
        <v>301</v>
      </c>
      <c r="C106" s="160"/>
      <c r="D106" s="66"/>
      <c r="E106" s="109" t="s">
        <v>302</v>
      </c>
      <c r="F106" s="11"/>
      <c r="G106" s="11"/>
      <c r="H106" s="11"/>
      <c r="I106" s="11"/>
      <c r="J106" s="11"/>
      <c r="K106" s="11"/>
      <c r="L106" s="11"/>
      <c r="M106" s="11"/>
      <c r="N106" s="11"/>
      <c r="O106" s="11"/>
      <c r="P106" s="11"/>
      <c r="Q106" s="11"/>
      <c r="R106" s="11"/>
      <c r="S106" s="11"/>
      <c r="T106" s="11"/>
      <c r="U106" s="12"/>
      <c r="V106" s="46"/>
    </row>
    <row r="107" spans="1:22" ht="16.5">
      <c r="A107" s="46"/>
      <c r="B107" s="116"/>
      <c r="C107" s="160"/>
      <c r="D107" s="66"/>
      <c r="E107" s="109" t="s">
        <v>384</v>
      </c>
      <c r="F107" s="11"/>
      <c r="G107" s="11"/>
      <c r="H107" s="11"/>
      <c r="I107" s="11" t="s">
        <v>304</v>
      </c>
      <c r="J107" s="11"/>
      <c r="K107" s="11"/>
      <c r="L107" s="112" t="s">
        <v>305</v>
      </c>
      <c r="M107" s="147">
        <f>G61+10*LOG10(D17/D15)</f>
        <v>96.083067300540222</v>
      </c>
      <c r="N107" s="113" t="s">
        <v>28</v>
      </c>
      <c r="O107" s="11"/>
      <c r="P107" s="11"/>
      <c r="Q107" s="11"/>
      <c r="R107" s="11"/>
      <c r="S107" s="11"/>
      <c r="T107" s="11"/>
      <c r="U107" s="12"/>
      <c r="V107" s="46"/>
    </row>
    <row r="108" spans="1:22" ht="16.5">
      <c r="A108" s="46"/>
      <c r="B108" s="116" t="s">
        <v>306</v>
      </c>
      <c r="C108" s="160"/>
      <c r="D108" s="66"/>
      <c r="E108" s="109" t="s">
        <v>307</v>
      </c>
      <c r="F108" s="11"/>
      <c r="G108" s="11"/>
      <c r="H108" s="11"/>
      <c r="I108" s="11"/>
      <c r="J108" s="11"/>
      <c r="K108" s="11"/>
      <c r="L108" s="11"/>
      <c r="M108" s="11"/>
      <c r="N108" s="11"/>
      <c r="O108" s="11"/>
      <c r="P108" s="11"/>
      <c r="Q108" s="11"/>
      <c r="R108" s="11"/>
      <c r="S108" s="11"/>
      <c r="T108" s="11"/>
      <c r="U108" s="12"/>
      <c r="V108" s="46"/>
    </row>
    <row r="109" spans="1:22" ht="16.5">
      <c r="A109" s="46"/>
      <c r="B109" s="116"/>
      <c r="C109" s="160"/>
      <c r="D109" s="66"/>
      <c r="E109" s="162" t="s">
        <v>308</v>
      </c>
      <c r="F109" s="147">
        <f>G61+10*LOG10(D15)+1</f>
        <v>100.72733301820962</v>
      </c>
      <c r="G109" s="112" t="s">
        <v>28</v>
      </c>
      <c r="H109" s="112"/>
      <c r="I109" s="112" t="s">
        <v>343</v>
      </c>
      <c r="J109" s="147">
        <f>F109-10*LOG10(7.5/30)</f>
        <v>106.74793293148925</v>
      </c>
      <c r="K109" s="112" t="s">
        <v>28</v>
      </c>
      <c r="L109" s="112" t="s">
        <v>398</v>
      </c>
      <c r="M109" s="147">
        <f>F109-10*LOG10(25/30)</f>
        <v>101.51914547868587</v>
      </c>
      <c r="N109" s="211" t="s">
        <v>28</v>
      </c>
      <c r="O109" s="11" t="s">
        <v>309</v>
      </c>
      <c r="P109" s="11"/>
      <c r="Q109" s="11"/>
      <c r="R109" s="11" t="s">
        <v>310</v>
      </c>
      <c r="S109" s="11"/>
      <c r="T109" s="11"/>
      <c r="U109" s="12"/>
      <c r="V109" s="46"/>
    </row>
    <row r="110" spans="1:22">
      <c r="A110" s="46"/>
      <c r="B110" s="116"/>
      <c r="C110" s="160"/>
      <c r="D110" s="66"/>
      <c r="E110" s="109" t="s">
        <v>311</v>
      </c>
      <c r="F110" s="11"/>
      <c r="G110" s="11"/>
      <c r="H110" s="11"/>
      <c r="I110" s="11"/>
      <c r="J110" s="11"/>
      <c r="K110" s="11"/>
      <c r="L110" s="11"/>
      <c r="M110" s="11"/>
      <c r="N110" s="11"/>
      <c r="O110" s="11"/>
      <c r="P110" s="11"/>
      <c r="Q110" s="11"/>
      <c r="R110" s="11"/>
      <c r="S110" s="11"/>
      <c r="T110" s="11"/>
      <c r="U110" s="12"/>
      <c r="V110" s="46"/>
    </row>
    <row r="111" spans="1:22">
      <c r="A111" s="46"/>
      <c r="B111" s="116"/>
      <c r="C111" s="160"/>
      <c r="D111" s="66"/>
      <c r="E111" s="109" t="s">
        <v>312</v>
      </c>
      <c r="F111" s="11"/>
      <c r="G111" s="11"/>
      <c r="H111" s="11"/>
      <c r="I111" s="11"/>
      <c r="J111" s="11"/>
      <c r="K111" s="11"/>
      <c r="L111" s="11"/>
      <c r="M111" s="11"/>
      <c r="N111" s="11"/>
      <c r="O111" s="11"/>
      <c r="P111" s="11"/>
      <c r="Q111" s="11"/>
      <c r="R111" s="11"/>
      <c r="S111" s="11"/>
      <c r="T111" s="11"/>
      <c r="U111" s="12"/>
      <c r="V111" s="46"/>
    </row>
    <row r="112" spans="1:22">
      <c r="A112" s="46"/>
      <c r="B112" s="145" t="s">
        <v>313</v>
      </c>
      <c r="C112" s="160"/>
      <c r="D112" s="66"/>
      <c r="E112" s="109"/>
      <c r="F112" s="11"/>
      <c r="G112" s="11"/>
      <c r="H112" s="11"/>
      <c r="I112" s="11"/>
      <c r="J112" s="11"/>
      <c r="K112" s="11"/>
      <c r="L112" s="11"/>
      <c r="M112" s="11"/>
      <c r="N112" s="11"/>
      <c r="O112" s="11"/>
      <c r="P112" s="11"/>
      <c r="Q112" s="11"/>
      <c r="R112" s="11"/>
      <c r="S112" s="11"/>
      <c r="T112" s="11"/>
      <c r="U112" s="12"/>
      <c r="V112" s="46"/>
    </row>
    <row r="113" spans="1:22">
      <c r="A113" s="46"/>
      <c r="B113" s="116" t="s">
        <v>321</v>
      </c>
      <c r="C113" s="160"/>
      <c r="D113" s="66"/>
      <c r="E113" s="109"/>
      <c r="F113" s="11"/>
      <c r="G113" s="11"/>
      <c r="H113" s="11"/>
      <c r="I113" s="11"/>
      <c r="J113" s="11"/>
      <c r="K113" s="11"/>
      <c r="L113" s="11"/>
      <c r="M113" s="11"/>
      <c r="N113" s="11"/>
      <c r="O113" s="11"/>
      <c r="P113" s="11"/>
      <c r="Q113" s="11"/>
      <c r="R113" s="11"/>
      <c r="S113" s="11"/>
      <c r="T113" s="11"/>
      <c r="U113" s="12"/>
      <c r="V113" s="46"/>
    </row>
    <row r="114" spans="1:22">
      <c r="A114" s="46"/>
      <c r="B114" s="116"/>
      <c r="C114" s="40" t="s">
        <v>325</v>
      </c>
      <c r="D114" s="66"/>
      <c r="E114" s="109"/>
      <c r="F114" s="11"/>
      <c r="G114" s="11"/>
      <c r="H114" s="11"/>
      <c r="I114" s="11"/>
      <c r="J114" s="11"/>
      <c r="K114" s="11"/>
      <c r="L114" s="11"/>
      <c r="M114" s="11"/>
      <c r="N114" s="11"/>
      <c r="O114" s="11"/>
      <c r="P114" s="11"/>
      <c r="Q114" s="11"/>
      <c r="R114" s="11"/>
      <c r="S114" s="11"/>
      <c r="T114" s="11"/>
      <c r="U114" s="12"/>
      <c r="V114" s="46"/>
    </row>
    <row r="115" spans="1:22" ht="16.5">
      <c r="A115" s="46"/>
      <c r="B115" s="116" t="s">
        <v>314</v>
      </c>
      <c r="C115" s="160"/>
      <c r="D115" s="66"/>
      <c r="E115" s="109"/>
      <c r="F115" s="11"/>
      <c r="G115" s="11"/>
      <c r="H115" s="11"/>
      <c r="I115" s="11"/>
      <c r="J115" s="11"/>
      <c r="K115" s="11"/>
      <c r="L115" s="11"/>
      <c r="M115" s="11"/>
      <c r="N115" s="11"/>
      <c r="O115" s="11"/>
      <c r="P115" s="112" t="s">
        <v>315</v>
      </c>
      <c r="Q115" s="147">
        <f>PERCENTILE('Passby Data Set 3'!D24:D94,0.1)</f>
        <v>84.9</v>
      </c>
      <c r="R115" s="112" t="s">
        <v>28</v>
      </c>
      <c r="S115" s="11"/>
      <c r="T115" s="11"/>
      <c r="U115" s="12"/>
      <c r="V115" s="46"/>
    </row>
    <row r="116" spans="1:22" ht="16.5">
      <c r="A116" s="46"/>
      <c r="B116" s="116" t="s">
        <v>316</v>
      </c>
      <c r="C116" s="160"/>
      <c r="D116" s="66"/>
      <c r="E116" s="109"/>
      <c r="F116" s="11"/>
      <c r="G116" s="11"/>
      <c r="H116" s="11"/>
      <c r="I116" s="11"/>
      <c r="J116" s="11"/>
      <c r="K116" s="11"/>
      <c r="L116" s="11"/>
      <c r="M116" s="11"/>
      <c r="N116" s="11"/>
      <c r="O116" s="11"/>
      <c r="P116" s="112" t="s">
        <v>317</v>
      </c>
      <c r="Q116" s="147">
        <f>PERCENTILE('Passby Data Set 3'!D24:D94,0.5)</f>
        <v>95.5</v>
      </c>
      <c r="R116" s="112" t="s">
        <v>28</v>
      </c>
      <c r="S116" s="11"/>
      <c r="T116" s="11"/>
      <c r="U116" s="12"/>
      <c r="V116" s="46"/>
    </row>
    <row r="117" spans="1:22" ht="16.5">
      <c r="A117" s="46"/>
      <c r="B117" s="119" t="s">
        <v>318</v>
      </c>
      <c r="C117" s="170"/>
      <c r="D117" s="137"/>
      <c r="E117" s="171"/>
      <c r="F117" s="18"/>
      <c r="G117" s="18"/>
      <c r="H117" s="18"/>
      <c r="I117" s="18"/>
      <c r="J117" s="18"/>
      <c r="K117" s="18"/>
      <c r="L117" s="18"/>
      <c r="M117" s="18"/>
      <c r="N117" s="18"/>
      <c r="O117" s="18"/>
      <c r="P117" s="148" t="s">
        <v>319</v>
      </c>
      <c r="Q117" s="149">
        <f>PERCENTILE('Passby Data Set 3'!D24:D94,0.9)</f>
        <v>96.8</v>
      </c>
      <c r="R117" s="148" t="s">
        <v>28</v>
      </c>
      <c r="S117" s="18"/>
      <c r="T117" s="18"/>
      <c r="U117" s="19"/>
      <c r="V117" s="46"/>
    </row>
    <row r="118" spans="1:22">
      <c r="A118" s="46"/>
      <c r="B118" s="76"/>
      <c r="C118" s="160"/>
      <c r="D118" s="66"/>
      <c r="E118" s="109"/>
      <c r="F118" s="11"/>
      <c r="G118" s="11"/>
      <c r="H118" s="11"/>
      <c r="I118" s="11"/>
      <c r="J118" s="11"/>
      <c r="K118" s="11"/>
      <c r="L118" s="11"/>
      <c r="M118" s="11"/>
      <c r="N118" s="11"/>
      <c r="O118" s="46"/>
      <c r="P118" s="168"/>
      <c r="Q118" s="169"/>
      <c r="R118" s="168"/>
      <c r="S118" s="46"/>
      <c r="T118" s="46"/>
      <c r="U118" s="46"/>
      <c r="V118" s="46"/>
    </row>
    <row r="119" spans="1:22">
      <c r="A119" s="46"/>
      <c r="B119" s="132" t="s">
        <v>799</v>
      </c>
      <c r="C119" s="181"/>
      <c r="D119" s="133"/>
      <c r="E119" s="182"/>
      <c r="F119" s="8"/>
      <c r="G119" s="8"/>
      <c r="H119" s="8"/>
      <c r="I119" s="8"/>
      <c r="J119" s="8"/>
      <c r="K119" s="8"/>
      <c r="L119" s="8"/>
      <c r="M119" s="8"/>
      <c r="N119" s="8"/>
      <c r="O119" s="8"/>
      <c r="P119" s="47"/>
      <c r="Q119" s="183"/>
      <c r="R119" s="47"/>
      <c r="S119" s="8"/>
      <c r="T119" s="8"/>
      <c r="U119" s="9"/>
      <c r="V119" s="46"/>
    </row>
    <row r="120" spans="1:22" ht="16.5">
      <c r="A120" s="46"/>
      <c r="B120" s="116" t="s">
        <v>346</v>
      </c>
      <c r="C120" s="160"/>
      <c r="D120" s="66"/>
      <c r="E120" s="109"/>
      <c r="F120" s="11"/>
      <c r="G120" s="11"/>
      <c r="H120" s="11"/>
      <c r="I120" s="15">
        <f>D13</f>
        <v>271</v>
      </c>
      <c r="J120" s="11" t="s">
        <v>19</v>
      </c>
      <c r="K120" s="11" t="s">
        <v>357</v>
      </c>
      <c r="L120" s="11"/>
      <c r="M120" s="11"/>
      <c r="N120" s="11"/>
      <c r="O120" s="11"/>
      <c r="P120" s="112"/>
      <c r="Q120" s="147"/>
      <c r="R120" s="112"/>
      <c r="S120" s="11"/>
      <c r="T120" s="11"/>
      <c r="U120" s="12"/>
      <c r="V120" s="46"/>
    </row>
    <row r="121" spans="1:22">
      <c r="A121" s="46"/>
      <c r="B121" s="116"/>
      <c r="C121" s="177"/>
      <c r="D121" s="66"/>
      <c r="E121" s="109"/>
      <c r="F121" s="11"/>
      <c r="G121" s="11"/>
      <c r="H121" s="11"/>
      <c r="I121" s="11"/>
      <c r="J121" s="11"/>
      <c r="K121" s="11"/>
      <c r="L121" s="11"/>
      <c r="M121" s="11"/>
      <c r="N121" s="11"/>
      <c r="O121" s="11"/>
      <c r="P121" s="112"/>
      <c r="Q121" s="147"/>
      <c r="R121" s="112"/>
      <c r="S121" s="11"/>
      <c r="T121" s="11"/>
      <c r="U121" s="12"/>
      <c r="V121" s="46"/>
    </row>
    <row r="122" spans="1:22" ht="15" customHeight="1">
      <c r="A122" s="46"/>
      <c r="B122" s="116"/>
      <c r="C122" s="160"/>
      <c r="D122" s="413"/>
      <c r="E122" s="606" t="s">
        <v>349</v>
      </c>
      <c r="F122" s="501"/>
      <c r="G122" s="454"/>
      <c r="H122" s="455"/>
      <c r="I122" s="455"/>
      <c r="J122" s="455"/>
      <c r="K122" s="455"/>
      <c r="L122" s="455"/>
      <c r="M122" s="455"/>
      <c r="N122" s="457"/>
      <c r="O122" s="11"/>
      <c r="P122" s="544" t="s">
        <v>404</v>
      </c>
      <c r="Q122" s="513"/>
      <c r="R122" s="513"/>
      <c r="S122" s="514"/>
      <c r="T122" s="11"/>
      <c r="U122" s="12"/>
      <c r="V122" s="46"/>
    </row>
    <row r="123" spans="1:22" ht="32.5" customHeight="1">
      <c r="A123" s="46"/>
      <c r="B123" s="116"/>
      <c r="C123" s="160"/>
      <c r="D123" s="380" t="s">
        <v>40</v>
      </c>
      <c r="E123" s="167" t="s">
        <v>350</v>
      </c>
      <c r="F123" s="351" t="s">
        <v>713</v>
      </c>
      <c r="G123" s="493" t="s">
        <v>351</v>
      </c>
      <c r="H123" s="405" t="s">
        <v>352</v>
      </c>
      <c r="I123" s="405" t="s">
        <v>353</v>
      </c>
      <c r="J123" s="405" t="s">
        <v>347</v>
      </c>
      <c r="K123" s="405" t="s">
        <v>348</v>
      </c>
      <c r="L123" s="405" t="s">
        <v>354</v>
      </c>
      <c r="M123" s="405" t="s">
        <v>355</v>
      </c>
      <c r="N123" s="493" t="s">
        <v>356</v>
      </c>
      <c r="O123" s="11"/>
      <c r="P123" s="592" t="s">
        <v>399</v>
      </c>
      <c r="Q123" s="398" t="s">
        <v>400</v>
      </c>
      <c r="R123" s="398" t="s">
        <v>401</v>
      </c>
      <c r="S123" s="398" t="s">
        <v>402</v>
      </c>
      <c r="T123" s="11"/>
      <c r="U123" s="12"/>
      <c r="V123" s="46"/>
    </row>
    <row r="124" spans="1:22">
      <c r="A124" s="46"/>
      <c r="B124" s="116"/>
      <c r="C124" s="160"/>
      <c r="D124" s="175">
        <v>1</v>
      </c>
      <c r="E124" s="179">
        <f>E125/$R$125</f>
        <v>92.892285278895002</v>
      </c>
      <c r="F124" s="179">
        <f t="shared" ref="F124:N124" si="8">F125/$R$125</f>
        <v>94.562004175365345</v>
      </c>
      <c r="G124" s="179">
        <f t="shared" si="8"/>
        <v>93.799287886323953</v>
      </c>
      <c r="H124" s="179">
        <f t="shared" si="8"/>
        <v>94.164197822204173</v>
      </c>
      <c r="I124" s="179">
        <f t="shared" si="8"/>
        <v>92.428480362297506</v>
      </c>
      <c r="J124" s="179">
        <f t="shared" si="8"/>
        <v>93.475384889460841</v>
      </c>
      <c r="K124" s="179">
        <f t="shared" si="8"/>
        <v>103.85080740307721</v>
      </c>
      <c r="L124" s="179">
        <f t="shared" si="8"/>
        <v>82.595824634655543</v>
      </c>
      <c r="M124" s="179">
        <f t="shared" si="8"/>
        <v>92.908141962421709</v>
      </c>
      <c r="N124" s="179">
        <f t="shared" si="8"/>
        <v>94.172860125260954</v>
      </c>
      <c r="O124" s="11"/>
      <c r="P124" s="595"/>
      <c r="Q124" s="512"/>
      <c r="R124" s="512"/>
      <c r="S124" s="471"/>
      <c r="T124" s="11"/>
      <c r="U124" s="12"/>
      <c r="V124" s="46"/>
    </row>
    <row r="125" spans="1:22">
      <c r="A125" s="46"/>
      <c r="B125" s="116"/>
      <c r="C125" s="160"/>
      <c r="D125" s="175">
        <v>2</v>
      </c>
      <c r="E125" s="179">
        <f>G61</f>
        <v>95.483700962640995</v>
      </c>
      <c r="F125" s="179">
        <f>D85</f>
        <v>97.2</v>
      </c>
      <c r="G125" s="179">
        <f>L91</f>
        <v>96.416006217916689</v>
      </c>
      <c r="H125" s="179">
        <f>L93</f>
        <v>96.79109604471202</v>
      </c>
      <c r="I125" s="179">
        <f>G103</f>
        <v>95.006957282275764</v>
      </c>
      <c r="J125" s="179">
        <f>M107</f>
        <v>96.083067300540222</v>
      </c>
      <c r="K125" s="179">
        <f>J109</f>
        <v>106.74793293148925</v>
      </c>
      <c r="L125" s="179">
        <f>Q115</f>
        <v>84.9</v>
      </c>
      <c r="M125" s="179">
        <f>Q116</f>
        <v>95.5</v>
      </c>
      <c r="N125" s="179">
        <f>Q117</f>
        <v>96.8</v>
      </c>
      <c r="O125" s="11"/>
      <c r="P125" s="593">
        <v>271</v>
      </c>
      <c r="Q125" s="594">
        <f>R78/$R$78</f>
        <v>1</v>
      </c>
      <c r="R125" s="594">
        <f t="shared" ref="R125:S125" si="9">S78/$R$78</f>
        <v>1.0278969957081545</v>
      </c>
      <c r="S125" s="594">
        <f t="shared" si="9"/>
        <v>0.87982832618025753</v>
      </c>
      <c r="T125" s="11"/>
      <c r="U125" s="12"/>
      <c r="V125" s="46"/>
    </row>
    <row r="126" spans="1:22">
      <c r="A126" s="46"/>
      <c r="B126" s="116"/>
      <c r="C126" s="160"/>
      <c r="D126" s="175">
        <v>3</v>
      </c>
      <c r="E126" s="179">
        <f>E124*$S$125</f>
        <v>81.729263871989161</v>
      </c>
      <c r="F126" s="179">
        <f t="shared" ref="F126:N126" si="10">F124*$S$125</f>
        <v>83.198329853862219</v>
      </c>
      <c r="G126" s="179">
        <f t="shared" si="10"/>
        <v>82.527270457924516</v>
      </c>
      <c r="H126" s="179">
        <f t="shared" si="10"/>
        <v>82.848328556016554</v>
      </c>
      <c r="I126" s="179">
        <f t="shared" si="10"/>
        <v>81.321195168545017</v>
      </c>
      <c r="J126" s="179">
        <f t="shared" si="10"/>
        <v>82.242291426349666</v>
      </c>
      <c r="K126" s="179">
        <f t="shared" si="10"/>
        <v>91.370882049917725</v>
      </c>
      <c r="L126" s="179">
        <f t="shared" si="10"/>
        <v>72.670146137787071</v>
      </c>
      <c r="M126" s="179">
        <f t="shared" si="10"/>
        <v>81.743215031315245</v>
      </c>
      <c r="N126" s="179">
        <f t="shared" si="10"/>
        <v>82.855949895615865</v>
      </c>
      <c r="O126" s="11"/>
      <c r="P126" s="217">
        <v>341</v>
      </c>
      <c r="Q126" s="219">
        <f t="shared" ref="Q126:S127" si="11">R79/$R$78</f>
        <v>1.0354077253218883</v>
      </c>
      <c r="R126" s="219">
        <f t="shared" si="11"/>
        <v>1.0515021459227467</v>
      </c>
      <c r="S126" s="219">
        <f t="shared" si="11"/>
        <v>0.91738197424892698</v>
      </c>
      <c r="T126" s="11"/>
      <c r="U126" s="12"/>
      <c r="V126" s="46"/>
    </row>
    <row r="127" spans="1:22">
      <c r="A127" s="46"/>
      <c r="B127" s="116"/>
      <c r="C127" s="160"/>
      <c r="D127" s="175">
        <v>4</v>
      </c>
      <c r="E127" s="179">
        <f>$E$126-10*LOG10(30/25)</f>
        <v>80.93745141151291</v>
      </c>
      <c r="F127" s="179">
        <f>$F$126-10*LOG10(30/25)</f>
        <v>82.406517393385968</v>
      </c>
      <c r="G127" s="179">
        <f>$G$126-10*LOG10(30/25)</f>
        <v>81.735457997448265</v>
      </c>
      <c r="H127" s="179">
        <f>$H$126-10*LOG10(30/25)</f>
        <v>82.056516095540303</v>
      </c>
      <c r="I127" s="179">
        <f>$I$126-10*LOG10(30/25)</f>
        <v>80.529382708068766</v>
      </c>
      <c r="J127" s="179">
        <f>$J$126-10*LOG10(30/25)</f>
        <v>81.450478965873415</v>
      </c>
      <c r="K127" s="179">
        <f>$K$126-10*LOG10(30/25)</f>
        <v>90.579069589441474</v>
      </c>
      <c r="L127" s="179">
        <f>$L$126-10*LOG10(30/25)</f>
        <v>71.87833367731082</v>
      </c>
      <c r="M127" s="179">
        <f>$M$126-10*LOG10(30/25)</f>
        <v>80.951402570838994</v>
      </c>
      <c r="N127" s="179">
        <f>$N$126-10*LOG10(30/25)</f>
        <v>82.064137435139614</v>
      </c>
      <c r="O127" s="11"/>
      <c r="P127" s="217">
        <v>386</v>
      </c>
      <c r="Q127" s="219">
        <f t="shared" si="11"/>
        <v>1.0568669527896994</v>
      </c>
      <c r="R127" s="219">
        <f t="shared" si="11"/>
        <v>1.0740343347639485</v>
      </c>
      <c r="S127" s="219">
        <f t="shared" si="11"/>
        <v>0.94527896995708149</v>
      </c>
      <c r="T127" s="11"/>
      <c r="U127" s="12"/>
      <c r="V127" s="46"/>
    </row>
    <row r="128" spans="1:22">
      <c r="A128" s="46"/>
      <c r="B128" s="119"/>
      <c r="C128" s="170"/>
      <c r="D128" s="137"/>
      <c r="E128" s="171"/>
      <c r="F128" s="18"/>
      <c r="G128" s="18"/>
      <c r="H128" s="18"/>
      <c r="I128" s="18"/>
      <c r="J128" s="18"/>
      <c r="K128" s="18"/>
      <c r="L128" s="18"/>
      <c r="M128" s="18"/>
      <c r="N128" s="18"/>
      <c r="O128" s="18"/>
      <c r="P128" s="148"/>
      <c r="Q128" s="149"/>
      <c r="R128" s="148"/>
      <c r="S128" s="18"/>
      <c r="T128" s="18"/>
      <c r="U128" s="19"/>
      <c r="V128" s="46"/>
    </row>
    <row r="129" spans="1:22">
      <c r="A129" s="46"/>
      <c r="B129" s="76"/>
      <c r="C129" s="160"/>
      <c r="D129" s="66"/>
      <c r="E129" s="109"/>
      <c r="F129" s="11"/>
      <c r="G129" s="11"/>
      <c r="H129" s="11"/>
      <c r="I129" s="11"/>
      <c r="J129" s="11"/>
      <c r="K129" s="11"/>
      <c r="L129" s="11"/>
      <c r="M129" s="11"/>
      <c r="N129" s="11"/>
      <c r="O129" s="46"/>
      <c r="P129" s="168"/>
      <c r="Q129" s="169"/>
      <c r="R129" s="168"/>
      <c r="S129" s="46"/>
      <c r="T129" s="46"/>
      <c r="U129" s="46"/>
      <c r="V129" s="46"/>
    </row>
    <row r="130" spans="1:22">
      <c r="A130" s="46"/>
      <c r="B130" s="132" t="s">
        <v>320</v>
      </c>
      <c r="C130" s="181"/>
      <c r="D130" s="133"/>
      <c r="E130" s="182"/>
      <c r="F130" s="8"/>
      <c r="G130" s="8"/>
      <c r="H130" s="8"/>
      <c r="I130" s="8"/>
      <c r="J130" s="8"/>
      <c r="K130" s="8"/>
      <c r="L130" s="8"/>
      <c r="M130" s="8"/>
      <c r="N130" s="8"/>
      <c r="O130" s="8"/>
      <c r="P130" s="8"/>
      <c r="Q130" s="8"/>
      <c r="R130" s="8"/>
      <c r="S130" s="8"/>
      <c r="T130" s="8"/>
      <c r="U130" s="9"/>
      <c r="V130" s="46"/>
    </row>
    <row r="131" spans="1:22" ht="16.5">
      <c r="A131" s="46"/>
      <c r="B131" s="116" t="s">
        <v>324</v>
      </c>
      <c r="C131" s="160"/>
      <c r="D131" s="66"/>
      <c r="E131" s="109"/>
      <c r="F131" s="11"/>
      <c r="G131" s="11"/>
      <c r="H131" s="11"/>
      <c r="I131" s="11"/>
      <c r="J131" s="11"/>
      <c r="K131" s="11"/>
      <c r="L131" s="11"/>
      <c r="M131" s="11"/>
      <c r="N131" s="11"/>
      <c r="O131" s="11"/>
      <c r="P131" s="11"/>
      <c r="Q131" s="11"/>
      <c r="R131" s="11"/>
      <c r="S131" s="11"/>
      <c r="T131" s="11"/>
      <c r="U131" s="12"/>
      <c r="V131" s="46"/>
    </row>
    <row r="132" spans="1:22" ht="16.5">
      <c r="A132" s="46"/>
      <c r="B132" s="145"/>
      <c r="C132" s="11" t="s">
        <v>326</v>
      </c>
      <c r="D132" s="66"/>
      <c r="E132" s="109"/>
      <c r="F132" s="11"/>
      <c r="G132" s="11"/>
      <c r="H132" s="11" t="s">
        <v>329</v>
      </c>
      <c r="I132" s="11" t="s">
        <v>330</v>
      </c>
      <c r="J132" s="11" t="s">
        <v>331</v>
      </c>
      <c r="K132" s="11"/>
      <c r="L132" s="11"/>
      <c r="M132" s="11" t="s">
        <v>334</v>
      </c>
      <c r="N132" s="11"/>
      <c r="O132" s="11"/>
      <c r="P132" s="11"/>
      <c r="Q132" s="11"/>
      <c r="R132" s="11"/>
      <c r="S132" s="11"/>
      <c r="T132" s="11"/>
      <c r="U132" s="12"/>
      <c r="V132" s="46"/>
    </row>
    <row r="133" spans="1:22" ht="16.5">
      <c r="A133" s="46"/>
      <c r="B133" s="187" t="s">
        <v>327</v>
      </c>
      <c r="C133" s="11" t="s">
        <v>328</v>
      </c>
      <c r="D133" s="66"/>
      <c r="E133" s="109"/>
      <c r="F133" s="11"/>
      <c r="G133" s="11"/>
      <c r="H133" s="11"/>
      <c r="I133" s="11" t="s">
        <v>332</v>
      </c>
      <c r="J133" s="11" t="s">
        <v>333</v>
      </c>
      <c r="K133" s="11"/>
      <c r="L133" s="11"/>
      <c r="M133" s="11"/>
      <c r="N133" s="11"/>
      <c r="O133" s="11"/>
      <c r="P133" s="11"/>
      <c r="Q133" s="11"/>
      <c r="R133" s="11"/>
      <c r="S133" s="11"/>
      <c r="T133" s="11"/>
      <c r="U133" s="12"/>
      <c r="V133" s="46"/>
    </row>
    <row r="134" spans="1:22">
      <c r="A134" s="46"/>
      <c r="B134" s="116" t="s">
        <v>335</v>
      </c>
      <c r="C134" s="160"/>
      <c r="D134" s="66"/>
      <c r="E134" s="109"/>
      <c r="F134" s="11"/>
      <c r="G134" s="11"/>
      <c r="H134" s="11"/>
      <c r="I134" s="11"/>
      <c r="J134" s="11"/>
      <c r="K134" s="11"/>
      <c r="L134" s="11"/>
      <c r="M134" s="11"/>
      <c r="N134" s="11"/>
      <c r="O134" s="11"/>
      <c r="P134" s="11" t="s">
        <v>336</v>
      </c>
      <c r="Q134" s="11"/>
      <c r="R134" s="11"/>
      <c r="S134" s="11"/>
      <c r="T134" s="11"/>
      <c r="U134" s="12"/>
      <c r="V134" s="46"/>
    </row>
    <row r="135" spans="1:22">
      <c r="A135" s="46"/>
      <c r="B135" s="116" t="s">
        <v>337</v>
      </c>
      <c r="C135" s="160"/>
      <c r="D135" s="66"/>
      <c r="E135" s="109"/>
      <c r="F135" s="11"/>
      <c r="G135" s="11"/>
      <c r="H135" s="11"/>
      <c r="I135" s="11"/>
      <c r="J135" s="11"/>
      <c r="K135" s="11"/>
      <c r="L135" s="11"/>
      <c r="M135" s="11"/>
      <c r="N135" s="11"/>
      <c r="O135" s="11"/>
      <c r="P135" s="11"/>
      <c r="Q135" s="11"/>
      <c r="R135" s="11"/>
      <c r="S135" s="11"/>
      <c r="T135" s="11"/>
      <c r="U135" s="12"/>
      <c r="V135" s="46"/>
    </row>
    <row r="136" spans="1:22">
      <c r="A136" s="46"/>
      <c r="B136" s="116"/>
      <c r="C136" s="172" t="s">
        <v>339</v>
      </c>
      <c r="D136" s="66"/>
      <c r="E136" s="109"/>
      <c r="F136" s="15" t="s">
        <v>340</v>
      </c>
      <c r="G136" s="173">
        <v>6.25E-2</v>
      </c>
      <c r="H136" s="15" t="s">
        <v>341</v>
      </c>
      <c r="I136" s="107">
        <v>25</v>
      </c>
      <c r="J136" s="11"/>
      <c r="K136" s="11"/>
      <c r="L136" s="11"/>
      <c r="M136" s="11"/>
      <c r="N136" s="11"/>
      <c r="O136" s="11"/>
      <c r="P136" s="11"/>
      <c r="Q136" s="11"/>
      <c r="R136" s="11"/>
      <c r="S136" s="11"/>
      <c r="T136" s="11"/>
      <c r="U136" s="12"/>
      <c r="V136" s="46"/>
    </row>
    <row r="137" spans="1:22" ht="16.5">
      <c r="A137" s="46"/>
      <c r="B137" s="116" t="s">
        <v>344</v>
      </c>
      <c r="C137" s="160"/>
      <c r="D137" s="66">
        <f>D13</f>
        <v>271</v>
      </c>
      <c r="E137" s="109" t="s">
        <v>19</v>
      </c>
      <c r="F137" s="11"/>
      <c r="G137" s="11"/>
      <c r="H137" s="11"/>
      <c r="I137" s="11"/>
      <c r="J137" s="11"/>
      <c r="K137" s="11"/>
      <c r="L137" s="11"/>
      <c r="M137" s="11"/>
      <c r="N137" s="11"/>
      <c r="O137" s="11"/>
      <c r="P137" s="11"/>
      <c r="Q137" s="11"/>
      <c r="R137" s="11"/>
      <c r="S137" s="11"/>
      <c r="T137" s="11"/>
      <c r="U137" s="12"/>
      <c r="V137" s="46"/>
    </row>
    <row r="138" spans="1:22">
      <c r="A138" s="46"/>
      <c r="B138" s="116" t="s">
        <v>358</v>
      </c>
      <c r="C138" s="160"/>
      <c r="D138" s="66"/>
      <c r="E138" s="109"/>
      <c r="F138" s="11"/>
      <c r="G138" s="11"/>
      <c r="H138" s="11"/>
      <c r="I138" s="11"/>
      <c r="J138" s="11"/>
      <c r="K138" s="11"/>
      <c r="L138" s="11"/>
      <c r="M138" s="11"/>
      <c r="N138" s="11"/>
      <c r="O138" s="11"/>
      <c r="P138" s="11"/>
      <c r="Q138" s="11"/>
      <c r="R138" s="11"/>
      <c r="S138" s="11"/>
      <c r="T138" s="11"/>
      <c r="U138" s="12"/>
      <c r="V138" s="46"/>
    </row>
    <row r="139" spans="1:22">
      <c r="A139" s="46"/>
      <c r="B139" s="142"/>
      <c r="C139" s="160"/>
      <c r="D139" s="66"/>
      <c r="E139" s="109"/>
      <c r="F139" s="11"/>
      <c r="G139" s="11"/>
      <c r="H139" s="11"/>
      <c r="I139" s="11"/>
      <c r="J139" s="11"/>
      <c r="K139" s="11"/>
      <c r="L139" s="11"/>
      <c r="M139" s="11"/>
      <c r="N139" s="11"/>
      <c r="O139" s="11"/>
      <c r="P139" s="11"/>
      <c r="Q139" s="11"/>
      <c r="R139" s="11"/>
      <c r="S139" s="11"/>
      <c r="T139" s="11"/>
      <c r="U139" s="12"/>
      <c r="V139" s="46"/>
    </row>
    <row r="140" spans="1:22" ht="14.5" customHeight="1">
      <c r="A140" s="46"/>
      <c r="B140" s="142"/>
      <c r="C140" s="552"/>
      <c r="D140" s="553"/>
      <c r="E140" s="556" t="s">
        <v>409</v>
      </c>
      <c r="F140" s="501"/>
      <c r="G140" s="501"/>
      <c r="H140" s="501"/>
      <c r="I140" s="501"/>
      <c r="J140" s="454"/>
      <c r="K140" s="455"/>
      <c r="L140" s="455"/>
      <c r="M140" s="455"/>
      <c r="N140" s="457"/>
      <c r="O140" s="11"/>
      <c r="P140" s="11"/>
      <c r="Q140" s="11"/>
      <c r="R140" s="11"/>
      <c r="S140" s="11"/>
      <c r="T140" s="11"/>
      <c r="U140" s="12"/>
      <c r="V140" s="46"/>
    </row>
    <row r="141" spans="1:22" ht="31.5" customHeight="1">
      <c r="A141" s="46"/>
      <c r="B141" s="142"/>
      <c r="C141" s="598" t="s">
        <v>266</v>
      </c>
      <c r="D141" s="469" t="s">
        <v>338</v>
      </c>
      <c r="E141" s="124" t="s">
        <v>350</v>
      </c>
      <c r="F141" s="351" t="s">
        <v>713</v>
      </c>
      <c r="G141" s="92" t="s">
        <v>351</v>
      </c>
      <c r="H141" s="92" t="s">
        <v>352</v>
      </c>
      <c r="I141" s="92" t="s">
        <v>353</v>
      </c>
      <c r="J141" s="92" t="s">
        <v>347</v>
      </c>
      <c r="K141" s="405" t="s">
        <v>348</v>
      </c>
      <c r="L141" s="405" t="s">
        <v>354</v>
      </c>
      <c r="M141" s="405" t="s">
        <v>355</v>
      </c>
      <c r="N141" s="92" t="s">
        <v>356</v>
      </c>
      <c r="O141" s="11"/>
      <c r="P141" s="11"/>
      <c r="Q141" s="11"/>
      <c r="R141" s="11"/>
      <c r="S141" s="11"/>
      <c r="T141" s="11"/>
      <c r="U141" s="12"/>
      <c r="V141" s="46"/>
    </row>
    <row r="142" spans="1:22">
      <c r="A142" s="46"/>
      <c r="B142" s="142"/>
      <c r="C142" s="174">
        <v>80</v>
      </c>
      <c r="D142" s="176">
        <f>$G$136*C142+$I$136</f>
        <v>30</v>
      </c>
      <c r="E142" s="179">
        <f>$D$142*LOG(C142/$D$137)+$E$148</f>
        <v>76.995906162421136</v>
      </c>
      <c r="F142" s="179">
        <f>$D$142*LOG(C142/$D$137)+$F$148</f>
        <v>78.665625058891479</v>
      </c>
      <c r="G142" s="179">
        <f>$D$142*LOG(C142/$D$137)+$G$148</f>
        <v>77.902908769850086</v>
      </c>
      <c r="H142" s="179">
        <f>$D$142*LOG(C142/$D$137)+$H$148</f>
        <v>78.267818705730306</v>
      </c>
      <c r="I142" s="179">
        <f>$D$142*LOG(C142/$D$137)+$I$148</f>
        <v>76.53210124582364</v>
      </c>
      <c r="J142" s="179">
        <f>$D$142*LOG(C142/$D$137)+$J$148</f>
        <v>77.579005772986974</v>
      </c>
      <c r="K142" s="179">
        <f>$D$142*LOG(C142/$D$137)+$K$148</f>
        <v>87.954428286603346</v>
      </c>
      <c r="L142" s="179">
        <f>$D$142*LOG(C142/$D$137)+$L$148</f>
        <v>66.699445518181676</v>
      </c>
      <c r="M142" s="179">
        <f>$D$142*LOG(C142/$D$137)+$M$148</f>
        <v>77.011762845947842</v>
      </c>
      <c r="N142" s="179">
        <f>$D$142*LOG(C142/$D$137)+$N$148</f>
        <v>78.276481008787087</v>
      </c>
      <c r="O142" s="11"/>
      <c r="P142" s="11"/>
      <c r="Q142" s="11"/>
      <c r="R142" s="11"/>
      <c r="S142" s="11"/>
      <c r="T142" s="11"/>
      <c r="U142" s="12"/>
      <c r="V142" s="46"/>
    </row>
    <row r="143" spans="1:22">
      <c r="A143" s="46"/>
      <c r="B143" s="142"/>
      <c r="C143" s="174">
        <v>150</v>
      </c>
      <c r="D143" s="176">
        <f t="shared" ref="D143:D148" si="12">$G$136*C143+$I$136</f>
        <v>34.375</v>
      </c>
      <c r="E143" s="179">
        <f>$D$143*LOG(C143/$D$137)+$E$148</f>
        <v>84.062102935126347</v>
      </c>
      <c r="F143" s="179">
        <f>$D$143*LOG(C143/$D$137)+$F$148</f>
        <v>85.73182183159669</v>
      </c>
      <c r="G143" s="179">
        <f>$D$143*LOG(C143/$D$137)+$G$148</f>
        <v>84.969105542555297</v>
      </c>
      <c r="H143" s="179">
        <f>$D$143*LOG(C143/$D$137)+$H$148</f>
        <v>85.334015478435518</v>
      </c>
      <c r="I143" s="179">
        <f>$D$143*LOG(C143/$D$137)+$I$148</f>
        <v>83.598298018528851</v>
      </c>
      <c r="J143" s="179">
        <f>$D$143*LOG(C143/$D$137)+$J$148</f>
        <v>84.645202545692186</v>
      </c>
      <c r="K143" s="179">
        <f>$D$143*LOG(C143/$D$137)+$K$148</f>
        <v>95.020625059308557</v>
      </c>
      <c r="L143" s="179">
        <f>$D$143*LOG(C143/$D$137)+$L$148</f>
        <v>73.765642290886888</v>
      </c>
      <c r="M143" s="179">
        <f>$D$143*LOG(C143/$D$137)+$M$148</f>
        <v>84.077959618653054</v>
      </c>
      <c r="N143" s="179">
        <f>$D$143*LOG(C143/$D$137)+$N$148</f>
        <v>85.342677781492299</v>
      </c>
      <c r="O143" s="11"/>
      <c r="P143" s="11"/>
      <c r="Q143" s="11"/>
      <c r="R143" s="11"/>
      <c r="S143" s="11"/>
      <c r="T143" s="11"/>
      <c r="U143" s="12"/>
      <c r="V143" s="46"/>
    </row>
    <row r="144" spans="1:22">
      <c r="A144" s="46"/>
      <c r="B144" s="142"/>
      <c r="C144" s="174">
        <v>200</v>
      </c>
      <c r="D144" s="176">
        <f t="shared" si="12"/>
        <v>37.5</v>
      </c>
      <c r="E144" s="179">
        <f>$D$144*LOG(C144/$D$137)+$E$148</f>
        <v>87.944561708504082</v>
      </c>
      <c r="F144" s="179">
        <f>$D$144*LOG(C144/$D$137)+$F$148</f>
        <v>89.614280604974425</v>
      </c>
      <c r="G144" s="179">
        <f>$D$144*LOG(C144/$D$137)+$G$148</f>
        <v>88.851564315933032</v>
      </c>
      <c r="H144" s="179">
        <f>$D$144*LOG(C144/$D$137)+$H$148</f>
        <v>89.216474251813253</v>
      </c>
      <c r="I144" s="179">
        <f>$D$144*LOG(C144/$D$137)+$I$148</f>
        <v>87.480756791906586</v>
      </c>
      <c r="J144" s="179">
        <f>$D$144*LOG(C144/$D$137)+$J$148</f>
        <v>88.527661319069921</v>
      </c>
      <c r="K144" s="179">
        <f>$D$144*LOG(C144/$D$137)+$K$148</f>
        <v>98.903083832686292</v>
      </c>
      <c r="L144" s="179">
        <f>$D$144*LOG(C144/$D$137)+$L$148</f>
        <v>77.648101064264623</v>
      </c>
      <c r="M144" s="179">
        <f>$D$144*LOG(C144/$D$137)+$M$148</f>
        <v>87.960418392030789</v>
      </c>
      <c r="N144" s="179">
        <f>$D$144*LOG(C144/$D$137)+$N$148</f>
        <v>89.225136554870033</v>
      </c>
      <c r="O144" s="11"/>
      <c r="P144" s="11"/>
      <c r="Q144" s="11"/>
      <c r="R144" s="11"/>
      <c r="S144" s="11"/>
      <c r="T144" s="11"/>
      <c r="U144" s="12"/>
      <c r="V144" s="46"/>
    </row>
    <row r="145" spans="1:22">
      <c r="A145" s="46"/>
      <c r="B145" s="142"/>
      <c r="C145" s="174">
        <v>250</v>
      </c>
      <c r="D145" s="176">
        <f t="shared" si="12"/>
        <v>40.625</v>
      </c>
      <c r="E145" s="179">
        <f>$D$145*LOG(C145/$D$137)+$E$148</f>
        <v>91.469220689423793</v>
      </c>
      <c r="F145" s="179">
        <f>$D$145*LOG(C145/$D$137)+$F$148</f>
        <v>93.138939585894136</v>
      </c>
      <c r="G145" s="179">
        <f>$D$145*LOG(C145/$D$137)+$G$148</f>
        <v>92.376223296852743</v>
      </c>
      <c r="H145" s="179">
        <f>$D$145*LOG(C145/$D$137)+$H$148</f>
        <v>92.741133232732963</v>
      </c>
      <c r="I145" s="179">
        <f>$D$145*LOG(C145/$D$137)+$I$148</f>
        <v>91.005415772826296</v>
      </c>
      <c r="J145" s="179">
        <f>$D$145*LOG(C145/$D$137)+$J$148</f>
        <v>92.052320299989631</v>
      </c>
      <c r="K145" s="179">
        <f>$D$145*LOG(C145/$D$137)+$K$148</f>
        <v>102.427742813606</v>
      </c>
      <c r="L145" s="179">
        <f>$D$145*LOG(C145/$D$137)+$L$148</f>
        <v>81.172760045184333</v>
      </c>
      <c r="M145" s="179">
        <f>$D$145*LOG(C145/$D$137)+$M$148</f>
        <v>91.485077372950499</v>
      </c>
      <c r="N145" s="179">
        <f>$D$145*LOG(C145/$D$137)+$N$148</f>
        <v>92.749795535789744</v>
      </c>
      <c r="O145" s="11"/>
      <c r="P145" s="11"/>
      <c r="Q145" s="11"/>
      <c r="R145" s="11"/>
      <c r="S145" s="11"/>
      <c r="T145" s="11"/>
      <c r="U145" s="12"/>
      <c r="V145" s="46"/>
    </row>
    <row r="146" spans="1:22">
      <c r="A146" s="46"/>
      <c r="B146" s="142"/>
      <c r="C146" s="174">
        <v>300</v>
      </c>
      <c r="D146" s="176">
        <f t="shared" si="12"/>
        <v>43.75</v>
      </c>
      <c r="E146" s="179">
        <f>$D$146*LOG(C146/$D$137)+$E$148</f>
        <v>94.823933697124986</v>
      </c>
      <c r="F146" s="179">
        <f>$D$146*LOG(C146/$D$137)+$F$148</f>
        <v>96.493652593595328</v>
      </c>
      <c r="G146" s="179">
        <f>$D$146*LOG(C146/$D$137)+$G$148</f>
        <v>95.730936304553936</v>
      </c>
      <c r="H146" s="179">
        <f>$D$146*LOG(C146/$D$137)+$H$148</f>
        <v>96.095846240434156</v>
      </c>
      <c r="I146" s="179">
        <f>$D$146*LOG(C146/$D$137)+$I$148</f>
        <v>94.360128780527489</v>
      </c>
      <c r="J146" s="179">
        <f>$D$146*LOG(C146/$D$137)+$J$148</f>
        <v>95.407033307690824</v>
      </c>
      <c r="K146" s="179">
        <f>$D$146*LOG(C146/$D$137)+$K$148</f>
        <v>105.7824558213072</v>
      </c>
      <c r="L146" s="179">
        <f>$D$146*LOG(C146/$D$137)+$L$148</f>
        <v>84.527473052885526</v>
      </c>
      <c r="M146" s="179">
        <f>$D$146*LOG(C146/$D$137)+$M$148</f>
        <v>94.839790380651692</v>
      </c>
      <c r="N146" s="179">
        <f>$D$146*LOG(C146/$D$137)+$N$148</f>
        <v>96.104508543490937</v>
      </c>
      <c r="O146" s="11"/>
      <c r="P146" s="11"/>
      <c r="Q146" s="11"/>
      <c r="R146" s="11"/>
      <c r="S146" s="11"/>
      <c r="T146" s="11"/>
      <c r="U146" s="12"/>
      <c r="V146" s="46"/>
    </row>
    <row r="147" spans="1:22">
      <c r="A147" s="46"/>
      <c r="B147" s="142"/>
      <c r="C147" s="174">
        <v>350</v>
      </c>
      <c r="D147" s="176">
        <f t="shared" si="12"/>
        <v>46.875</v>
      </c>
      <c r="E147" s="179">
        <f>$D$147*LOG(C147/$D$137)+$E$148</f>
        <v>98.100039348076407</v>
      </c>
      <c r="F147" s="179">
        <f>$D$147*LOG(C147/$D$137)+$F$148</f>
        <v>99.76975824454675</v>
      </c>
      <c r="G147" s="179">
        <f>$D$147*LOG(C147/$D$137)+$G$148</f>
        <v>99.007041955505358</v>
      </c>
      <c r="H147" s="179">
        <f>$D$147*LOG(C147/$D$137)+$H$148</f>
        <v>99.371951891385578</v>
      </c>
      <c r="I147" s="179">
        <f>$D$147*LOG(C147/$D$137)+$I$148</f>
        <v>97.636234431478911</v>
      </c>
      <c r="J147" s="179">
        <f>$D$147*LOG(C147/$D$137)+$J$148</f>
        <v>98.683138958642246</v>
      </c>
      <c r="K147" s="179">
        <f>$D$147*LOG(C147/$D$137)+$K$148</f>
        <v>109.05856147225862</v>
      </c>
      <c r="L147" s="179">
        <f>$D$147*LOG(C147/$D$137)+$L$148</f>
        <v>87.803578703836948</v>
      </c>
      <c r="M147" s="179">
        <f>$D$147*LOG(C147/$D$137)+$M$148</f>
        <v>98.115896031603114</v>
      </c>
      <c r="N147" s="179">
        <f>$D$147*LOG(C147/$D$137)+$N$148</f>
        <v>99.380614194442359</v>
      </c>
      <c r="O147" s="11"/>
      <c r="P147" s="11"/>
      <c r="Q147" s="11"/>
      <c r="R147" s="11"/>
      <c r="S147" s="11"/>
      <c r="T147" s="11"/>
      <c r="U147" s="12"/>
      <c r="V147" s="46"/>
    </row>
    <row r="148" spans="1:22">
      <c r="A148" s="46"/>
      <c r="B148" s="155" t="s">
        <v>385</v>
      </c>
      <c r="C148" s="174">
        <v>271</v>
      </c>
      <c r="D148" s="176">
        <f t="shared" si="12"/>
        <v>41.9375</v>
      </c>
      <c r="E148" s="179">
        <f>E124</f>
        <v>92.892285278895002</v>
      </c>
      <c r="F148" s="179">
        <f t="shared" ref="F148:N148" si="13">F124</f>
        <v>94.562004175365345</v>
      </c>
      <c r="G148" s="179">
        <f t="shared" si="13"/>
        <v>93.799287886323953</v>
      </c>
      <c r="H148" s="179">
        <f t="shared" si="13"/>
        <v>94.164197822204173</v>
      </c>
      <c r="I148" s="179">
        <f t="shared" si="13"/>
        <v>92.428480362297506</v>
      </c>
      <c r="J148" s="179">
        <f t="shared" si="13"/>
        <v>93.475384889460841</v>
      </c>
      <c r="K148" s="179">
        <f t="shared" si="13"/>
        <v>103.85080740307721</v>
      </c>
      <c r="L148" s="179">
        <f t="shared" si="13"/>
        <v>82.595824634655543</v>
      </c>
      <c r="M148" s="179">
        <f t="shared" si="13"/>
        <v>92.908141962421709</v>
      </c>
      <c r="N148" s="179">
        <f t="shared" si="13"/>
        <v>94.172860125260954</v>
      </c>
      <c r="O148" s="11"/>
      <c r="P148" s="11"/>
      <c r="Q148" s="11"/>
      <c r="R148" s="11"/>
      <c r="S148" s="11"/>
      <c r="T148" s="11"/>
      <c r="U148" s="12"/>
      <c r="V148" s="46"/>
    </row>
    <row r="149" spans="1:22">
      <c r="A149" s="46"/>
      <c r="B149" s="155"/>
      <c r="C149" s="117"/>
      <c r="D149" s="184"/>
      <c r="E149" s="185"/>
      <c r="F149" s="185"/>
      <c r="G149" s="185"/>
      <c r="H149" s="185"/>
      <c r="I149" s="185"/>
      <c r="J149" s="185"/>
      <c r="K149" s="185"/>
      <c r="L149" s="185"/>
      <c r="M149" s="185"/>
      <c r="N149" s="185"/>
      <c r="O149" s="11"/>
      <c r="P149" s="11"/>
      <c r="Q149" s="11"/>
      <c r="R149" s="11"/>
      <c r="S149" s="11"/>
      <c r="T149" s="11"/>
      <c r="U149" s="12"/>
      <c r="V149" s="46"/>
    </row>
    <row r="150" spans="1:22" ht="14.5" customHeight="1">
      <c r="A150" s="46"/>
      <c r="B150" s="155"/>
      <c r="C150" s="552"/>
      <c r="D150" s="553"/>
      <c r="E150" s="556" t="s">
        <v>411</v>
      </c>
      <c r="F150" s="501"/>
      <c r="G150" s="501"/>
      <c r="H150" s="501"/>
      <c r="I150" s="501"/>
      <c r="J150" s="454"/>
      <c r="K150" s="455"/>
      <c r="L150" s="455"/>
      <c r="M150" s="455"/>
      <c r="N150" s="457"/>
      <c r="O150" s="11"/>
      <c r="P150" s="11"/>
      <c r="Q150" s="11"/>
      <c r="R150" s="11"/>
      <c r="S150" s="11"/>
      <c r="T150" s="11"/>
      <c r="U150" s="12"/>
      <c r="V150" s="46"/>
    </row>
    <row r="151" spans="1:22" ht="26">
      <c r="A151" s="46"/>
      <c r="B151" s="155"/>
      <c r="C151" s="598" t="s">
        <v>266</v>
      </c>
      <c r="D151" s="469" t="s">
        <v>338</v>
      </c>
      <c r="E151" s="167" t="s">
        <v>350</v>
      </c>
      <c r="F151" s="351" t="s">
        <v>713</v>
      </c>
      <c r="G151" s="165" t="s">
        <v>351</v>
      </c>
      <c r="H151" s="165" t="s">
        <v>352</v>
      </c>
      <c r="I151" s="165" t="s">
        <v>353</v>
      </c>
      <c r="J151" s="165" t="s">
        <v>347</v>
      </c>
      <c r="K151" s="405" t="s">
        <v>348</v>
      </c>
      <c r="L151" s="405" t="s">
        <v>354</v>
      </c>
      <c r="M151" s="405" t="s">
        <v>355</v>
      </c>
      <c r="N151" s="165" t="s">
        <v>356</v>
      </c>
      <c r="O151" s="11"/>
      <c r="P151" s="11" t="s">
        <v>86</v>
      </c>
      <c r="Q151" s="11"/>
      <c r="R151" s="11"/>
      <c r="S151" s="11"/>
      <c r="T151" s="11"/>
      <c r="U151" s="12"/>
      <c r="V151" s="46"/>
    </row>
    <row r="152" spans="1:22">
      <c r="A152" s="46"/>
      <c r="B152" s="155"/>
      <c r="C152" s="174">
        <v>80</v>
      </c>
      <c r="D152" s="176">
        <f>$G$136*C152+$I$136</f>
        <v>30</v>
      </c>
      <c r="E152" s="179">
        <f>$D$152*LOG(C152/$D$137)+$E$158</f>
        <v>79.587321846167129</v>
      </c>
      <c r="F152" s="179">
        <f>$D$152*LOG(C152/$D$137)+$F$158</f>
        <v>81.303620883526136</v>
      </c>
      <c r="G152" s="179">
        <f>$D$152*LOG(C152/$D$137)+$G$158</f>
        <v>80.519627101442822</v>
      </c>
      <c r="H152" s="179">
        <f>$D$152*LOG(C152/$D$137)+$H$158</f>
        <v>80.894716928238154</v>
      </c>
      <c r="I152" s="179">
        <f>$D$152*LOG(C152/$D$137)+$I$158</f>
        <v>79.110578165801897</v>
      </c>
      <c r="J152" s="179">
        <f>$D$152*LOG(C152/$D$137)+$J$158</f>
        <v>80.186688184066355</v>
      </c>
      <c r="K152" s="179">
        <f>$D$152*LOG(C152/$D$137)+$K$158</f>
        <v>90.851553815015379</v>
      </c>
      <c r="L152" s="179">
        <f>$D$152*LOG(C152/$D$137)+$L$158</f>
        <v>69.003620883526139</v>
      </c>
      <c r="M152" s="179">
        <f>$D$152*LOG(C152/$D$137)+$M$158</f>
        <v>79.603620883526133</v>
      </c>
      <c r="N152" s="179">
        <f>$D$152*LOG(C152/$D$137)+$N$158</f>
        <v>80.903620883526131</v>
      </c>
      <c r="O152" s="11"/>
      <c r="P152" s="11"/>
      <c r="Q152" s="11"/>
      <c r="R152" s="11"/>
      <c r="S152" s="11"/>
      <c r="T152" s="11"/>
      <c r="U152" s="12"/>
      <c r="V152" s="46"/>
    </row>
    <row r="153" spans="1:22">
      <c r="A153" s="46"/>
      <c r="B153" s="155"/>
      <c r="C153" s="174">
        <v>150</v>
      </c>
      <c r="D153" s="176">
        <f t="shared" ref="D153:D158" si="14">$G$136*C153+$I$136</f>
        <v>34.375</v>
      </c>
      <c r="E153" s="179">
        <f>$D$153*LOG(C153/$D$137)+$E$158</f>
        <v>86.65351861887234</v>
      </c>
      <c r="F153" s="179">
        <f>$D$153*LOG(C153/$D$137)+$F$158</f>
        <v>88.369817656231348</v>
      </c>
      <c r="G153" s="179">
        <f>$D$153*LOG(C153/$D$137)+$G$158</f>
        <v>87.585823874148033</v>
      </c>
      <c r="H153" s="179">
        <f>$D$153*LOG(C153/$D$137)+$H$158</f>
        <v>87.960913700943365</v>
      </c>
      <c r="I153" s="179">
        <f>$D$153*LOG(C153/$D$137)+$I$158</f>
        <v>86.176774938507108</v>
      </c>
      <c r="J153" s="179">
        <f>$D$153*LOG(C153/$D$137)+$J$158</f>
        <v>87.252884956771567</v>
      </c>
      <c r="K153" s="179">
        <f>$D$153*LOG(C153/$D$137)+$K$158</f>
        <v>97.91775058772059</v>
      </c>
      <c r="L153" s="179">
        <f>$D$153*LOG(C153/$D$137)+$L$158</f>
        <v>76.069817656231351</v>
      </c>
      <c r="M153" s="179">
        <f>$D$153*LOG(C153/$D$137)+$M$158</f>
        <v>86.669817656231345</v>
      </c>
      <c r="N153" s="179">
        <f>$D$153*LOG(C153/$D$137)+$N$158</f>
        <v>87.969817656231342</v>
      </c>
      <c r="O153" s="11"/>
      <c r="P153" s="11"/>
      <c r="Q153" s="11"/>
      <c r="R153" s="11"/>
      <c r="S153" s="11"/>
      <c r="T153" s="11"/>
      <c r="U153" s="12"/>
      <c r="V153" s="46"/>
    </row>
    <row r="154" spans="1:22">
      <c r="A154" s="46"/>
      <c r="B154" s="155"/>
      <c r="C154" s="174">
        <v>200</v>
      </c>
      <c r="D154" s="176">
        <f t="shared" si="14"/>
        <v>37.5</v>
      </c>
      <c r="E154" s="179">
        <f>$D$154*LOG(C154/$D$137)+$E$158</f>
        <v>90.535977392250075</v>
      </c>
      <c r="F154" s="179">
        <f>$D$154*LOG(C154/$D$137)+$F$158</f>
        <v>92.252276429609083</v>
      </c>
      <c r="G154" s="179">
        <f>$D$154*LOG(C154/$D$137)+$G$158</f>
        <v>91.468282647525768</v>
      </c>
      <c r="H154" s="179">
        <f>$D$154*LOG(C154/$D$137)+$H$158</f>
        <v>91.8433724743211</v>
      </c>
      <c r="I154" s="179">
        <f>$D$154*LOG(C154/$D$137)+$I$158</f>
        <v>90.059233711884843</v>
      </c>
      <c r="J154" s="179">
        <f>$D$154*LOG(C154/$D$137)+$J$158</f>
        <v>91.135343730149302</v>
      </c>
      <c r="K154" s="179">
        <f>$D$154*LOG(C154/$D$137)+$K$158</f>
        <v>101.80020936109833</v>
      </c>
      <c r="L154" s="179">
        <f>$D$154*LOG(C154/$D$137)+$L$158</f>
        <v>79.952276429609086</v>
      </c>
      <c r="M154" s="179">
        <f>$D$154*LOG(C154/$D$137)+$M$158</f>
        <v>90.55227642960908</v>
      </c>
      <c r="N154" s="179">
        <f>$D$154*LOG(C154/$D$137)+$N$158</f>
        <v>91.852276429609077</v>
      </c>
      <c r="O154" s="11"/>
      <c r="P154" s="11"/>
      <c r="Q154" s="11"/>
      <c r="R154" s="11"/>
      <c r="S154" s="11"/>
      <c r="T154" s="11"/>
      <c r="U154" s="12"/>
      <c r="V154" s="46"/>
    </row>
    <row r="155" spans="1:22">
      <c r="A155" s="46"/>
      <c r="B155" s="155"/>
      <c r="C155" s="174">
        <v>250</v>
      </c>
      <c r="D155" s="176">
        <f t="shared" si="14"/>
        <v>40.625</v>
      </c>
      <c r="E155" s="179">
        <f>$D$155*LOG(C155/$D$137)+$E$158</f>
        <v>94.060636373169785</v>
      </c>
      <c r="F155" s="179">
        <f>$D$155*LOG(C155/$D$137)+$F$158</f>
        <v>95.776935410528793</v>
      </c>
      <c r="G155" s="179">
        <f>$D$155*LOG(C155/$D$137)+$G$158</f>
        <v>94.992941628445479</v>
      </c>
      <c r="H155" s="179">
        <f>$D$155*LOG(C155/$D$137)+$H$158</f>
        <v>95.368031455240811</v>
      </c>
      <c r="I155" s="179">
        <f>$D$155*LOG(C155/$D$137)+$I$158</f>
        <v>93.583892692804554</v>
      </c>
      <c r="J155" s="179">
        <f>$D$155*LOG(C155/$D$137)+$J$158</f>
        <v>94.660002711069012</v>
      </c>
      <c r="K155" s="179">
        <f>$D$155*LOG(C155/$D$137)+$K$158</f>
        <v>105.32486834201804</v>
      </c>
      <c r="L155" s="179">
        <f>$D$155*LOG(C155/$D$137)+$L$158</f>
        <v>83.476935410528796</v>
      </c>
      <c r="M155" s="179">
        <f>$D$155*LOG(C155/$D$137)+$M$158</f>
        <v>94.07693541052879</v>
      </c>
      <c r="N155" s="179">
        <f>$D$155*LOG(C155/$D$137)+$N$158</f>
        <v>95.376935410528787</v>
      </c>
      <c r="O155" s="11"/>
      <c r="P155" s="125" t="s">
        <v>428</v>
      </c>
      <c r="Q155" s="11"/>
      <c r="R155" s="11"/>
      <c r="S155" s="11"/>
      <c r="T155" s="11"/>
      <c r="U155" s="12"/>
      <c r="V155" s="46"/>
    </row>
    <row r="156" spans="1:22">
      <c r="A156" s="46"/>
      <c r="B156" s="155"/>
      <c r="C156" s="174">
        <v>300</v>
      </c>
      <c r="D156" s="176">
        <f t="shared" si="14"/>
        <v>43.75</v>
      </c>
      <c r="E156" s="179">
        <f>$D$156*LOG(C156/$D$137)+$E$158</f>
        <v>97.415349380870978</v>
      </c>
      <c r="F156" s="179">
        <f>$D$156*LOG(C156/$D$137)+$F$158</f>
        <v>99.131648418229986</v>
      </c>
      <c r="G156" s="179">
        <f>$D$156*LOG(C156/$D$137)+$G$158</f>
        <v>98.347654636146672</v>
      </c>
      <c r="H156" s="179">
        <f>$D$156*LOG(C156/$D$137)+$H$158</f>
        <v>98.722744462942003</v>
      </c>
      <c r="I156" s="179">
        <f>$D$156*LOG(C156/$D$137)+$I$158</f>
        <v>96.938605700505747</v>
      </c>
      <c r="J156" s="179">
        <f>$D$156*LOG(C156/$D$137)+$J$158</f>
        <v>98.014715718770205</v>
      </c>
      <c r="K156" s="179">
        <f>$D$156*LOG(C156/$D$137)+$K$158</f>
        <v>108.67958134971923</v>
      </c>
      <c r="L156" s="179">
        <f>$D$156*LOG(C156/$D$137)+$L$158</f>
        <v>86.831648418229989</v>
      </c>
      <c r="M156" s="179">
        <f>$D$156*LOG(C156/$D$137)+$M$158</f>
        <v>97.431648418229983</v>
      </c>
      <c r="N156" s="179">
        <f>$D$156*LOG(C156/$D$137)+$N$158</f>
        <v>98.73164841822998</v>
      </c>
      <c r="O156" s="11"/>
      <c r="P156" s="125" t="s">
        <v>429</v>
      </c>
      <c r="Q156" s="11"/>
      <c r="R156" s="11"/>
      <c r="S156" s="11"/>
      <c r="T156" s="11"/>
      <c r="U156" s="12"/>
      <c r="V156" s="46"/>
    </row>
    <row r="157" spans="1:22">
      <c r="A157" s="46"/>
      <c r="B157" s="155"/>
      <c r="C157" s="174">
        <v>350</v>
      </c>
      <c r="D157" s="176">
        <f t="shared" si="14"/>
        <v>46.875</v>
      </c>
      <c r="E157" s="179">
        <f>$D$157*LOG(C157/$D$137)+$E$158</f>
        <v>100.6914550318224</v>
      </c>
      <c r="F157" s="179">
        <f>$D$147*LOG(C157/$D$137)+$F$158</f>
        <v>102.40775406918141</v>
      </c>
      <c r="G157" s="179">
        <f>$D$147*LOG(C157/$D$137)+$G$158</f>
        <v>101.62376028709809</v>
      </c>
      <c r="H157" s="179">
        <f>$D$147*LOG(C157/$D$137)+$H$158</f>
        <v>101.99885011389343</v>
      </c>
      <c r="I157" s="179">
        <f>$D$147*LOG(C157/$D$137)+$I$158</f>
        <v>100.21471135145717</v>
      </c>
      <c r="J157" s="179">
        <f>$D$147*LOG(C157/$D$137)+$J$158</f>
        <v>101.29082136972163</v>
      </c>
      <c r="K157" s="179">
        <f>$D$147*LOG(C157/$D$137)+$K$158</f>
        <v>111.95568700067065</v>
      </c>
      <c r="L157" s="179">
        <f>$D$147*LOG(C157/$D$137)+$L$158</f>
        <v>90.107754069181411</v>
      </c>
      <c r="M157" s="179">
        <f>$D$147*LOG(C157/$D$137)+$M$158</f>
        <v>100.70775406918141</v>
      </c>
      <c r="N157" s="179">
        <f>$D$147*LOG(C157/$D$137)+$N$158</f>
        <v>102.0077540691814</v>
      </c>
      <c r="O157" s="11"/>
      <c r="P157" s="11" t="s">
        <v>430</v>
      </c>
      <c r="Q157" s="11"/>
      <c r="R157" s="11"/>
      <c r="S157" s="11"/>
      <c r="T157" s="11"/>
      <c r="U157" s="12"/>
      <c r="V157" s="46"/>
    </row>
    <row r="158" spans="1:22">
      <c r="A158" s="46"/>
      <c r="B158" s="155" t="s">
        <v>385</v>
      </c>
      <c r="C158" s="174">
        <v>271</v>
      </c>
      <c r="D158" s="176">
        <f t="shared" si="14"/>
        <v>41.9375</v>
      </c>
      <c r="E158" s="179">
        <f>E125</f>
        <v>95.483700962640995</v>
      </c>
      <c r="F158" s="179">
        <f t="shared" ref="F158:N158" si="15">F125</f>
        <v>97.2</v>
      </c>
      <c r="G158" s="179">
        <f t="shared" si="15"/>
        <v>96.416006217916689</v>
      </c>
      <c r="H158" s="179">
        <f t="shared" si="15"/>
        <v>96.79109604471202</v>
      </c>
      <c r="I158" s="179">
        <f t="shared" si="15"/>
        <v>95.006957282275764</v>
      </c>
      <c r="J158" s="179">
        <f t="shared" si="15"/>
        <v>96.083067300540222</v>
      </c>
      <c r="K158" s="179">
        <f t="shared" si="15"/>
        <v>106.74793293148925</v>
      </c>
      <c r="L158" s="179">
        <f t="shared" si="15"/>
        <v>84.9</v>
      </c>
      <c r="M158" s="179">
        <f t="shared" si="15"/>
        <v>95.5</v>
      </c>
      <c r="N158" s="179">
        <f t="shared" si="15"/>
        <v>96.8</v>
      </c>
      <c r="O158" s="11"/>
      <c r="P158" s="11"/>
      <c r="Q158" s="11"/>
      <c r="R158" s="15" t="s">
        <v>435</v>
      </c>
      <c r="S158" s="11"/>
      <c r="T158" s="11"/>
      <c r="U158" s="12"/>
      <c r="V158" s="46"/>
    </row>
    <row r="159" spans="1:22">
      <c r="A159" s="46"/>
      <c r="B159" s="142"/>
      <c r="C159" s="160"/>
      <c r="D159" s="66"/>
      <c r="E159" s="109"/>
      <c r="F159" s="11"/>
      <c r="G159" s="11"/>
      <c r="H159" s="11"/>
      <c r="I159" s="11"/>
      <c r="J159" s="11"/>
      <c r="K159" s="11"/>
      <c r="L159" s="11"/>
      <c r="M159" s="11"/>
      <c r="N159" s="11"/>
      <c r="O159" s="11"/>
      <c r="P159" s="11"/>
      <c r="Q159" s="11"/>
      <c r="R159" s="11"/>
      <c r="S159" s="11"/>
      <c r="T159" s="11"/>
      <c r="U159" s="12"/>
      <c r="V159" s="46"/>
    </row>
    <row r="160" spans="1:22" ht="14.5" customHeight="1">
      <c r="A160" s="46"/>
      <c r="B160" s="142"/>
      <c r="C160" s="552"/>
      <c r="D160" s="553"/>
      <c r="E160" s="556" t="s">
        <v>359</v>
      </c>
      <c r="F160" s="501"/>
      <c r="G160" s="501"/>
      <c r="H160" s="501"/>
      <c r="I160" s="501"/>
      <c r="J160" s="454"/>
      <c r="K160" s="455"/>
      <c r="L160" s="455"/>
      <c r="M160" s="455"/>
      <c r="N160" s="457"/>
      <c r="O160" s="11"/>
      <c r="P160" s="11"/>
      <c r="Q160" s="11"/>
      <c r="R160" s="11"/>
      <c r="S160" s="11"/>
      <c r="T160" s="11"/>
      <c r="U160" s="12"/>
      <c r="V160" s="46"/>
    </row>
    <row r="161" spans="1:23" ht="26">
      <c r="A161" s="46"/>
      <c r="B161" s="142"/>
      <c r="C161" s="598" t="s">
        <v>266</v>
      </c>
      <c r="D161" s="469" t="s">
        <v>338</v>
      </c>
      <c r="E161" s="124" t="s">
        <v>350</v>
      </c>
      <c r="F161" s="351" t="s">
        <v>713</v>
      </c>
      <c r="G161" s="92" t="s">
        <v>351</v>
      </c>
      <c r="H161" s="92" t="s">
        <v>352</v>
      </c>
      <c r="I161" s="92" t="s">
        <v>353</v>
      </c>
      <c r="J161" s="92" t="s">
        <v>347</v>
      </c>
      <c r="K161" s="405" t="s">
        <v>348</v>
      </c>
      <c r="L161" s="405" t="s">
        <v>354</v>
      </c>
      <c r="M161" s="405" t="s">
        <v>355</v>
      </c>
      <c r="N161" s="92" t="s">
        <v>356</v>
      </c>
      <c r="O161" s="11"/>
      <c r="P161" s="11"/>
      <c r="Q161" s="11"/>
      <c r="R161" s="11"/>
      <c r="S161" s="11"/>
      <c r="T161" s="11"/>
      <c r="U161" s="12"/>
      <c r="V161" s="46"/>
    </row>
    <row r="162" spans="1:23">
      <c r="A162" s="46"/>
      <c r="B162" s="142"/>
      <c r="C162" s="174">
        <v>80</v>
      </c>
      <c r="D162" s="176">
        <f>$G$136*C162+$I$136</f>
        <v>30</v>
      </c>
      <c r="E162" s="179">
        <f>$D$162*LOG(C162/$D$137)+$E$168</f>
        <v>65.832884755515295</v>
      </c>
      <c r="F162" s="179">
        <f>$D$162*LOG(C162/$D$137)+$F$168</f>
        <v>67.301950737388353</v>
      </c>
      <c r="G162" s="179">
        <f>$D$162*LOG(C162/$D$137)+$G$168</f>
        <v>66.630891341450649</v>
      </c>
      <c r="H162" s="179">
        <f>$D$162*LOG(C162/$D$137)+$H$168</f>
        <v>66.951949439542688</v>
      </c>
      <c r="I162" s="179">
        <f>$D$162*LOG(C162/$D$137)+$I$168</f>
        <v>65.424816052071151</v>
      </c>
      <c r="J162" s="179">
        <f>$D$162*LOG(C162/$D$137)+$J$168</f>
        <v>66.3459123098758</v>
      </c>
      <c r="K162" s="179">
        <f>$D$162*LOG(C162/$D$137)+$K$168</f>
        <v>75.474502933443858</v>
      </c>
      <c r="L162" s="179">
        <f>$D$162*LOG(C162/$D$137)+$L$168</f>
        <v>56.773767021313205</v>
      </c>
      <c r="M162" s="179">
        <f>$D$162*LOG(C162/$D$137)+$M$168</f>
        <v>65.846835914841378</v>
      </c>
      <c r="N162" s="179">
        <f>$D$162*LOG(C162/$D$137)+$N$168</f>
        <v>66.959570779141998</v>
      </c>
      <c r="O162" s="11"/>
      <c r="P162" s="11"/>
      <c r="Q162" s="11"/>
      <c r="R162" s="11"/>
      <c r="S162" s="11"/>
      <c r="T162" s="11"/>
      <c r="U162" s="12"/>
      <c r="V162" s="46"/>
    </row>
    <row r="163" spans="1:23">
      <c r="A163" s="46"/>
      <c r="B163" s="142"/>
      <c r="C163" s="174">
        <v>150</v>
      </c>
      <c r="D163" s="176">
        <f t="shared" ref="D163:D168" si="16">$G$136*C163+$I$136</f>
        <v>34.375</v>
      </c>
      <c r="E163" s="179">
        <f>$D$163*LOG(C163/$D$137)+$E$168</f>
        <v>72.899081528220506</v>
      </c>
      <c r="F163" s="179">
        <f>$D$163*LOG(C163/$D$137)+$F$168</f>
        <v>74.368147510093564</v>
      </c>
      <c r="G163" s="179">
        <f>$D$163*LOG(C163/$D$137)+$G$168</f>
        <v>73.697088114155861</v>
      </c>
      <c r="H163" s="179">
        <f>$D$163*LOG(C163/$D$137)+$H$168</f>
        <v>74.018146212247899</v>
      </c>
      <c r="I163" s="179">
        <f>$D$163*LOG(C163/$D$137)+$I$168</f>
        <v>72.491012824776362</v>
      </c>
      <c r="J163" s="179">
        <f>$D$163*LOG(C163/$D$137)+$J$168</f>
        <v>73.412109082581011</v>
      </c>
      <c r="K163" s="179">
        <f>$D$163*LOG(C163/$D$137)+$K$168</f>
        <v>82.54069970614907</v>
      </c>
      <c r="L163" s="179">
        <f>$D$163*LOG(C163/$D$137)+$L$168</f>
        <v>63.839963794018416</v>
      </c>
      <c r="M163" s="179">
        <f>$D$163*LOG(C163/$D$137)+$M$168</f>
        <v>72.91303268754659</v>
      </c>
      <c r="N163" s="179">
        <f>$D$163*LOG(C163/$D$137)+$N$168</f>
        <v>74.02576755184721</v>
      </c>
      <c r="O163" s="11"/>
      <c r="P163" s="11"/>
      <c r="Q163" s="11"/>
      <c r="R163" s="11"/>
      <c r="S163" s="11"/>
      <c r="T163" s="11"/>
      <c r="U163" s="12"/>
      <c r="V163" s="46"/>
    </row>
    <row r="164" spans="1:23">
      <c r="A164" s="46"/>
      <c r="B164" s="142"/>
      <c r="C164" s="174">
        <v>200</v>
      </c>
      <c r="D164" s="176">
        <f t="shared" si="16"/>
        <v>37.5</v>
      </c>
      <c r="E164" s="179">
        <f>$D$164*LOG(C164/$D$137)+$E$168</f>
        <v>76.781540301598241</v>
      </c>
      <c r="F164" s="179">
        <f>$D$164*LOG(C164/$D$137)+$F$168</f>
        <v>78.250606283471299</v>
      </c>
      <c r="G164" s="179">
        <f>$D$164*LOG(C164/$D$137)+$G$168</f>
        <v>77.579546887533596</v>
      </c>
      <c r="H164" s="179">
        <f>$D$164*LOG(C164/$D$137)+$H$168</f>
        <v>77.900604985625634</v>
      </c>
      <c r="I164" s="179">
        <f>$D$164*LOG(C164/$D$137)+$I$168</f>
        <v>76.373471598154097</v>
      </c>
      <c r="J164" s="179">
        <f>$D$164*LOG(C164/$D$137)+$J$168</f>
        <v>77.294567855958746</v>
      </c>
      <c r="K164" s="179">
        <f>$D$164*LOG(C164/$D$137)+$K$168</f>
        <v>86.423158479526805</v>
      </c>
      <c r="L164" s="179">
        <f>$D$164*LOG(C164/$D$137)+$L$168</f>
        <v>67.722422567396151</v>
      </c>
      <c r="M164" s="179">
        <f>$D$164*LOG(C164/$D$137)+$M$168</f>
        <v>76.795491460924325</v>
      </c>
      <c r="N164" s="179">
        <f>$D$164*LOG(C164/$D$137)+$N$168</f>
        <v>77.908226325224945</v>
      </c>
      <c r="O164" s="11"/>
      <c r="P164" s="11"/>
      <c r="Q164" s="11"/>
      <c r="R164" s="11"/>
      <c r="S164" s="11"/>
      <c r="T164" s="11"/>
      <c r="U164" s="12"/>
      <c r="V164" s="46"/>
    </row>
    <row r="165" spans="1:23">
      <c r="A165" s="46"/>
      <c r="B165" s="142"/>
      <c r="C165" s="174">
        <v>250</v>
      </c>
      <c r="D165" s="176">
        <f t="shared" si="16"/>
        <v>40.625</v>
      </c>
      <c r="E165" s="179">
        <f>$D$165*LOG(C165/$D$137)+$E$168</f>
        <v>80.306199282517952</v>
      </c>
      <c r="F165" s="179">
        <f>$D$165*LOG(C165/$D$137)+$F$168</f>
        <v>81.77526526439101</v>
      </c>
      <c r="G165" s="179">
        <f>$D$165*LOG(C165/$D$137)+$G$168</f>
        <v>81.104205868453306</v>
      </c>
      <c r="H165" s="179">
        <f>$D$165*LOG(C165/$D$137)+$H$168</f>
        <v>81.425263966545344</v>
      </c>
      <c r="I165" s="179">
        <f>$D$165*LOG(C165/$D$137)+$I$168</f>
        <v>79.898130579073808</v>
      </c>
      <c r="J165" s="179">
        <f>$D$165*LOG(C165/$D$137)+$J$168</f>
        <v>80.819226836878457</v>
      </c>
      <c r="K165" s="179">
        <f>$D$165*LOG(C165/$D$137)+$K$168</f>
        <v>89.947817460446515</v>
      </c>
      <c r="L165" s="179">
        <f>$D$165*LOG(C165/$D$137)+$L$168</f>
        <v>71.247081548315862</v>
      </c>
      <c r="M165" s="179">
        <f>$D$165*LOG(C165/$D$137)+$M$168</f>
        <v>80.320150441844035</v>
      </c>
      <c r="N165" s="179">
        <f>$D$165*LOG(C165/$D$137)+$N$168</f>
        <v>81.432885306144655</v>
      </c>
      <c r="O165" s="11"/>
      <c r="P165" s="11"/>
      <c r="Q165" s="11"/>
      <c r="R165" s="11"/>
      <c r="S165" s="11"/>
      <c r="T165" s="11"/>
      <c r="U165" s="12"/>
      <c r="V165" s="46"/>
    </row>
    <row r="166" spans="1:23">
      <c r="A166" s="46"/>
      <c r="B166" s="142"/>
      <c r="C166" s="174">
        <v>300</v>
      </c>
      <c r="D166" s="176">
        <f t="shared" si="16"/>
        <v>43.75</v>
      </c>
      <c r="E166" s="179">
        <f>$D$166*LOG(C166/$D$137)+$E$168</f>
        <v>83.660912290219144</v>
      </c>
      <c r="F166" s="179">
        <f>$D$166*LOG(C166/$D$137)+$F$168</f>
        <v>85.129978272092202</v>
      </c>
      <c r="G166" s="179">
        <f>$D$166*LOG(C166/$D$137)+$G$168</f>
        <v>84.458918876154499</v>
      </c>
      <c r="H166" s="179">
        <f>$D$166*LOG(C166/$D$137)+$H$168</f>
        <v>84.779976974246537</v>
      </c>
      <c r="I166" s="179">
        <f>$D$166*LOG(C166/$D$137)+$I$168</f>
        <v>83.252843586775001</v>
      </c>
      <c r="J166" s="179">
        <f>$D$166*LOG(C166/$D$137)+$J$168</f>
        <v>84.17393984457965</v>
      </c>
      <c r="K166" s="179">
        <f>$D$166*LOG(C166/$D$137)+$K$168</f>
        <v>93.302530468147708</v>
      </c>
      <c r="L166" s="179">
        <f>$D$166*LOG(C166/$D$137)+$L$168</f>
        <v>74.601794556017055</v>
      </c>
      <c r="M166" s="179">
        <f>$D$166*LOG(C166/$D$137)+$M$168</f>
        <v>83.674863449545228</v>
      </c>
      <c r="N166" s="179">
        <f>$D$166*LOG(C166/$D$137)+$N$168</f>
        <v>84.787598313845848</v>
      </c>
      <c r="O166" s="11"/>
      <c r="P166" s="11"/>
      <c r="Q166" s="11"/>
      <c r="R166" s="11"/>
      <c r="S166" s="11"/>
      <c r="T166" s="11"/>
      <c r="U166" s="12"/>
      <c r="V166" s="46"/>
    </row>
    <row r="167" spans="1:23">
      <c r="A167" s="46"/>
      <c r="B167" s="142"/>
      <c r="C167" s="174">
        <v>350</v>
      </c>
      <c r="D167" s="176">
        <f t="shared" si="16"/>
        <v>46.875</v>
      </c>
      <c r="E167" s="179">
        <f>$D$167*LOG(C167/$D$137)+$E$168</f>
        <v>86.937017941170566</v>
      </c>
      <c r="F167" s="179">
        <f>$D$167*LOG(C167/$D$137)+$F$168</f>
        <v>88.406083923043624</v>
      </c>
      <c r="G167" s="179">
        <f>$D$167*LOG(C167/$D$137)+$G$168</f>
        <v>87.735024527105921</v>
      </c>
      <c r="H167" s="179">
        <f>$D$167*LOG(C167/$D$137)+$H$168</f>
        <v>88.056082625197959</v>
      </c>
      <c r="I167" s="179">
        <f>$D$167*LOG(C167/$D$137)+$I$168</f>
        <v>86.528949237726422</v>
      </c>
      <c r="J167" s="179">
        <f>$D$167*LOG(C167/$D$137)+$J$168</f>
        <v>87.450045495531072</v>
      </c>
      <c r="K167" s="179">
        <f>$D$167*LOG(C167/$D$137)+$K$168</f>
        <v>96.57863611909913</v>
      </c>
      <c r="L167" s="179">
        <f>$D$167*LOG(C167/$D$137)+$L$168</f>
        <v>77.877900206968476</v>
      </c>
      <c r="M167" s="179">
        <f>$D$167*LOG(C167/$D$137)+$M$168</f>
        <v>86.95096910049665</v>
      </c>
      <c r="N167" s="179">
        <f>$D$167*LOG(C167/$D$137)+$N$168</f>
        <v>88.06370396479727</v>
      </c>
      <c r="O167" s="11"/>
      <c r="P167" s="11"/>
      <c r="Q167" s="11"/>
      <c r="R167" s="11"/>
      <c r="S167" s="11"/>
      <c r="T167" s="11"/>
      <c r="U167" s="12"/>
      <c r="V167" s="46"/>
    </row>
    <row r="168" spans="1:23">
      <c r="A168" s="46"/>
      <c r="B168" s="155" t="s">
        <v>385</v>
      </c>
      <c r="C168" s="174">
        <v>271</v>
      </c>
      <c r="D168" s="176">
        <f t="shared" si="16"/>
        <v>41.9375</v>
      </c>
      <c r="E168" s="179">
        <f>E126</f>
        <v>81.729263871989161</v>
      </c>
      <c r="F168" s="179">
        <f t="shared" ref="F168:N168" si="17">F126</f>
        <v>83.198329853862219</v>
      </c>
      <c r="G168" s="179">
        <f t="shared" si="17"/>
        <v>82.527270457924516</v>
      </c>
      <c r="H168" s="179">
        <f t="shared" si="17"/>
        <v>82.848328556016554</v>
      </c>
      <c r="I168" s="179">
        <f t="shared" si="17"/>
        <v>81.321195168545017</v>
      </c>
      <c r="J168" s="179">
        <f t="shared" si="17"/>
        <v>82.242291426349666</v>
      </c>
      <c r="K168" s="179">
        <f t="shared" si="17"/>
        <v>91.370882049917725</v>
      </c>
      <c r="L168" s="179">
        <f t="shared" si="17"/>
        <v>72.670146137787071</v>
      </c>
      <c r="M168" s="179">
        <f t="shared" si="17"/>
        <v>81.743215031315245</v>
      </c>
      <c r="N168" s="179">
        <f t="shared" si="17"/>
        <v>82.855949895615865</v>
      </c>
      <c r="O168" s="11"/>
      <c r="P168" s="11"/>
      <c r="Q168" s="11"/>
      <c r="R168" s="11"/>
      <c r="S168" s="11"/>
      <c r="T168" s="11"/>
      <c r="U168" s="12"/>
      <c r="V168" s="46"/>
    </row>
    <row r="169" spans="1:23" ht="15" customHeight="1">
      <c r="A169" s="46"/>
      <c r="B169" s="10"/>
      <c r="C169" s="11"/>
      <c r="D169" s="11"/>
      <c r="E169" s="11"/>
      <c r="F169" s="11"/>
      <c r="G169" s="11"/>
      <c r="H169" s="11"/>
      <c r="I169" s="11"/>
      <c r="J169" s="11"/>
      <c r="K169" s="11"/>
      <c r="L169" s="11"/>
      <c r="M169" s="11"/>
      <c r="N169" s="11"/>
      <c r="O169" s="11"/>
      <c r="P169" s="11"/>
      <c r="Q169" s="11"/>
      <c r="R169" s="11"/>
      <c r="S169" s="11"/>
      <c r="T169" s="11"/>
      <c r="U169" s="12"/>
      <c r="V169" s="46"/>
    </row>
    <row r="170" spans="1:23" ht="14.5" customHeight="1">
      <c r="A170" s="46"/>
      <c r="B170" s="10"/>
      <c r="C170" s="552"/>
      <c r="D170" s="553"/>
      <c r="E170" s="556" t="s">
        <v>360</v>
      </c>
      <c r="F170" s="501"/>
      <c r="G170" s="501"/>
      <c r="H170" s="501"/>
      <c r="I170" s="501"/>
      <c r="J170" s="454"/>
      <c r="K170" s="455"/>
      <c r="L170" s="455"/>
      <c r="M170" s="455"/>
      <c r="N170" s="457"/>
      <c r="O170" s="11"/>
      <c r="P170" s="11"/>
      <c r="Q170" s="11"/>
      <c r="R170" s="11"/>
      <c r="S170" s="11"/>
      <c r="T170" s="11"/>
      <c r="U170" s="12"/>
      <c r="V170" s="46"/>
    </row>
    <row r="171" spans="1:23" ht="26">
      <c r="A171" s="46"/>
      <c r="B171" s="10"/>
      <c r="C171" s="598" t="s">
        <v>266</v>
      </c>
      <c r="D171" s="469" t="s">
        <v>338</v>
      </c>
      <c r="E171" s="124" t="s">
        <v>350</v>
      </c>
      <c r="F171" s="351" t="s">
        <v>713</v>
      </c>
      <c r="G171" s="92" t="s">
        <v>351</v>
      </c>
      <c r="H171" s="92" t="s">
        <v>352</v>
      </c>
      <c r="I171" s="92" t="s">
        <v>353</v>
      </c>
      <c r="J171" s="92" t="s">
        <v>347</v>
      </c>
      <c r="K171" s="405" t="s">
        <v>348</v>
      </c>
      <c r="L171" s="405" t="s">
        <v>354</v>
      </c>
      <c r="M171" s="405" t="s">
        <v>355</v>
      </c>
      <c r="N171" s="92" t="s">
        <v>356</v>
      </c>
      <c r="O171" s="11"/>
      <c r="P171" s="11"/>
      <c r="Q171" s="11"/>
      <c r="R171" s="11"/>
      <c r="S171" s="11"/>
      <c r="T171" s="11"/>
      <c r="U171" s="12"/>
      <c r="V171" s="46"/>
    </row>
    <row r="172" spans="1:23">
      <c r="A172" s="46"/>
      <c r="B172" s="10"/>
      <c r="C172" s="174">
        <v>80</v>
      </c>
      <c r="D172" s="176">
        <f>$G$136*C172+$I$136</f>
        <v>30</v>
      </c>
      <c r="E172" s="179">
        <f>$D$172*LOG(C172/$D$137)+$E$178</f>
        <v>65.041072295039044</v>
      </c>
      <c r="F172" s="179">
        <f>$D$172*LOG(C172/$D$137)+$F$178</f>
        <v>66.510138276912102</v>
      </c>
      <c r="G172" s="179">
        <f>$D$172*LOG(C172/$D$137)+$G$178</f>
        <v>65.839078880974398</v>
      </c>
      <c r="H172" s="179">
        <f>$D$172*LOG(C172/$D$137)+$H$178</f>
        <v>66.160136979066436</v>
      </c>
      <c r="I172" s="179">
        <f>$D$172*LOG(C172/$D$137)+$I$178</f>
        <v>64.6330035915949</v>
      </c>
      <c r="J172" s="179">
        <f>$D$172*LOG(C172/$D$137)+$J$178</f>
        <v>65.554099849399549</v>
      </c>
      <c r="K172" s="179">
        <f>$D$172*LOG(C172/$D$137)+$K$178</f>
        <v>74.682690472967607</v>
      </c>
      <c r="L172" s="179">
        <f>$D$172*LOG(C172/$D$137)+$L$178</f>
        <v>55.981954560836954</v>
      </c>
      <c r="M172" s="179">
        <f>$D$172*LOG(C172/$D$137)+$M$178</f>
        <v>65.055023454365127</v>
      </c>
      <c r="N172" s="179">
        <f>$D$172*LOG(C172/$D$137)+$N$178</f>
        <v>66.167758318665747</v>
      </c>
      <c r="O172" s="11"/>
      <c r="P172" s="11"/>
      <c r="Q172" s="11"/>
      <c r="R172" s="11"/>
      <c r="S172" s="11"/>
      <c r="T172" s="11"/>
      <c r="U172" s="12"/>
      <c r="V172" s="46"/>
    </row>
    <row r="173" spans="1:23">
      <c r="A173" s="46"/>
      <c r="B173" s="10"/>
      <c r="C173" s="174">
        <v>150</v>
      </c>
      <c r="D173" s="176">
        <f t="shared" ref="D173:D178" si="18">$G$136*C173+$I$136</f>
        <v>34.375</v>
      </c>
      <c r="E173" s="179">
        <f>$D$173*LOG(C173/$D$137)+$E$178</f>
        <v>72.107269067744255</v>
      </c>
      <c r="F173" s="179">
        <f>$D$173*LOG(C173/$D$137)+$F$178</f>
        <v>73.576335049617313</v>
      </c>
      <c r="G173" s="179">
        <f>$D$173*LOG(C173/$D$137)+$G$178</f>
        <v>72.90527565367961</v>
      </c>
      <c r="H173" s="179">
        <f>$D$173*LOG(C173/$D$137)+$H$178</f>
        <v>73.226333751771648</v>
      </c>
      <c r="I173" s="179">
        <f>$D$173*LOG(C173/$D$137)+$I$178</f>
        <v>71.699200364300111</v>
      </c>
      <c r="J173" s="179">
        <f>$D$173*LOG(C173/$D$137)+$J$178</f>
        <v>72.62029662210476</v>
      </c>
      <c r="K173" s="179">
        <f>$D$173*LOG(C173/$D$137)+$K$178</f>
        <v>81.748887245672819</v>
      </c>
      <c r="L173" s="179">
        <f>$D$173*LOG(C173/$D$137)+$L$178</f>
        <v>63.048151333542165</v>
      </c>
      <c r="M173" s="179">
        <f>$D$173*LOG(C173/$D$137)+$M$178</f>
        <v>72.121220227070339</v>
      </c>
      <c r="N173" s="179">
        <f>$D$173*LOG(C173/$D$137)+$N$178</f>
        <v>73.233955091370959</v>
      </c>
      <c r="O173" s="11"/>
      <c r="P173" s="11"/>
      <c r="Q173" s="11"/>
      <c r="R173" s="11"/>
      <c r="S173" s="11"/>
      <c r="T173" s="11"/>
      <c r="U173" s="12"/>
      <c r="V173" s="46"/>
    </row>
    <row r="174" spans="1:23">
      <c r="A174" s="46"/>
      <c r="B174" s="10"/>
      <c r="C174" s="174">
        <v>200</v>
      </c>
      <c r="D174" s="176">
        <f t="shared" si="18"/>
        <v>37.5</v>
      </c>
      <c r="E174" s="179">
        <f>$D$174*LOG(C174/$D$137)+$E$178</f>
        <v>75.98972784112199</v>
      </c>
      <c r="F174" s="179">
        <f>$D$174*LOG(C174/$D$137)+$F$178</f>
        <v>77.458793822995048</v>
      </c>
      <c r="G174" s="179">
        <f>$D$174*LOG(C174/$D$137)+$G$178</f>
        <v>76.787734427057345</v>
      </c>
      <c r="H174" s="179">
        <f>$D$174*LOG(C174/$D$137)+$H$178</f>
        <v>77.108792525149383</v>
      </c>
      <c r="I174" s="179">
        <f>$D$174*LOG(C174/$D$137)+$I$178</f>
        <v>75.581659137677846</v>
      </c>
      <c r="J174" s="179">
        <f>$D$174*LOG(C174/$D$137)+$J$178</f>
        <v>76.502755395482495</v>
      </c>
      <c r="K174" s="179">
        <f>$D$174*LOG(C174/$D$137)+$K$178</f>
        <v>85.631346019050554</v>
      </c>
      <c r="L174" s="179">
        <f>$D$174*LOG(C174/$D$137)+$L$178</f>
        <v>66.9306101069199</v>
      </c>
      <c r="M174" s="179">
        <f>$D$174*LOG(C174/$D$137)+$M$178</f>
        <v>76.003679000448074</v>
      </c>
      <c r="N174" s="179">
        <f>$D$174*LOG(C174/$D$137)+$N$178</f>
        <v>77.116413864748694</v>
      </c>
      <c r="O174" s="11"/>
      <c r="P174" s="11"/>
      <c r="Q174" s="11"/>
      <c r="R174" s="11"/>
      <c r="S174" s="11"/>
      <c r="T174" s="11"/>
      <c r="U174" s="12"/>
      <c r="V174" s="46"/>
      <c r="W174" s="46"/>
    </row>
    <row r="175" spans="1:23">
      <c r="A175" s="46"/>
      <c r="B175" s="10"/>
      <c r="C175" s="174">
        <v>250</v>
      </c>
      <c r="D175" s="176">
        <f t="shared" si="18"/>
        <v>40.625</v>
      </c>
      <c r="E175" s="179">
        <f>$D$175*LOG(C175/$D$137)+$E$178</f>
        <v>79.5143868220417</v>
      </c>
      <c r="F175" s="179">
        <f>$D$175*LOG(C175/$D$137)+$F$178</f>
        <v>80.983452803914759</v>
      </c>
      <c r="G175" s="179">
        <f>$D$175*LOG(C175/$D$137)+$G$178</f>
        <v>80.312393407977055</v>
      </c>
      <c r="H175" s="179">
        <f>$D$175*LOG(C175/$D$137)+$H$178</f>
        <v>80.633451506069093</v>
      </c>
      <c r="I175" s="179">
        <f>$D$175*LOG(C175/$D$137)+$I$178</f>
        <v>79.106318118597557</v>
      </c>
      <c r="J175" s="179">
        <f>$D$175*LOG(C175/$D$137)+$J$178</f>
        <v>80.027414376402206</v>
      </c>
      <c r="K175" s="179">
        <f>$D$175*LOG(C175/$D$137)+$K$178</f>
        <v>89.156004999970264</v>
      </c>
      <c r="L175" s="179">
        <f>$D$175*LOG(C175/$D$137)+$L$178</f>
        <v>70.455269087839611</v>
      </c>
      <c r="M175" s="179">
        <f>$D$175*LOG(C175/$D$137)+$M$178</f>
        <v>79.528337981367784</v>
      </c>
      <c r="N175" s="179">
        <f>$D$175*LOG(C175/$D$137)+$N$178</f>
        <v>80.641072845668404</v>
      </c>
      <c r="O175" s="11"/>
      <c r="P175" s="11"/>
      <c r="Q175" s="11"/>
      <c r="R175" s="11"/>
      <c r="S175" s="11"/>
      <c r="T175" s="11"/>
      <c r="U175" s="12"/>
      <c r="V175" s="46"/>
      <c r="W175" s="46"/>
    </row>
    <row r="176" spans="1:23">
      <c r="A176" s="46"/>
      <c r="B176" s="116"/>
      <c r="C176" s="174">
        <v>300</v>
      </c>
      <c r="D176" s="176">
        <f t="shared" si="18"/>
        <v>43.75</v>
      </c>
      <c r="E176" s="179">
        <f>$D$176*LOG(C176/$D$137)+$E$178</f>
        <v>82.869099829742893</v>
      </c>
      <c r="F176" s="179">
        <f>$D$176*LOG(C176/$D$137)+$F$178</f>
        <v>84.338165811615951</v>
      </c>
      <c r="G176" s="179">
        <f>$D$176*LOG(C176/$D$137)+$G$178</f>
        <v>83.667106415678248</v>
      </c>
      <c r="H176" s="179">
        <f>$D$176*LOG(C176/$D$137)+$H$178</f>
        <v>83.988164513770286</v>
      </c>
      <c r="I176" s="179">
        <f>$D$176*LOG(C176/$D$137)+$I$178</f>
        <v>82.461031126298749</v>
      </c>
      <c r="J176" s="179">
        <f>$D$176*LOG(C176/$D$137)+$J$178</f>
        <v>83.382127384103399</v>
      </c>
      <c r="K176" s="179">
        <f>$D$176*LOG(C176/$D$137)+$K$178</f>
        <v>92.510718007671457</v>
      </c>
      <c r="L176" s="179">
        <f>$D$176*LOG(C176/$D$137)+$L$178</f>
        <v>73.809982095540803</v>
      </c>
      <c r="M176" s="179">
        <f>$D$176*LOG(C176/$D$137)+$M$178</f>
        <v>82.883050989068977</v>
      </c>
      <c r="N176" s="179">
        <f>$D$176*LOG(C176/$D$137)+$N$178</f>
        <v>83.995785853369597</v>
      </c>
      <c r="O176" s="11"/>
      <c r="P176" s="11"/>
      <c r="Q176" s="11"/>
      <c r="R176" s="11"/>
      <c r="S176" s="11"/>
      <c r="T176" s="11"/>
      <c r="U176" s="12"/>
      <c r="V176" s="46"/>
      <c r="W176" s="46"/>
    </row>
    <row r="177" spans="1:22">
      <c r="A177" s="46"/>
      <c r="B177" s="116"/>
      <c r="C177" s="174">
        <v>350</v>
      </c>
      <c r="D177" s="176">
        <f t="shared" si="18"/>
        <v>46.875</v>
      </c>
      <c r="E177" s="179">
        <f>$D$177*LOG(C177/$D$137)+$E$178</f>
        <v>86.145205480694315</v>
      </c>
      <c r="F177" s="179">
        <f>$D$177*LOG(C177/$D$137)+$F$178</f>
        <v>87.614271462567373</v>
      </c>
      <c r="G177" s="179">
        <f>$D$177*LOG(C177/$D$137)+$G$178</f>
        <v>86.94321206662967</v>
      </c>
      <c r="H177" s="179">
        <f>$D$177*LOG(C177/$D$137)+$H$178</f>
        <v>87.264270164721708</v>
      </c>
      <c r="I177" s="179">
        <f>$D$177*LOG(C177/$D$137)+$I$178</f>
        <v>85.737136777250171</v>
      </c>
      <c r="J177" s="179">
        <f>$D$177*LOG(C177/$D$137)+$J$178</f>
        <v>86.65823303505482</v>
      </c>
      <c r="K177" s="179">
        <f>$D$177*LOG(C177/$D$137)+$K$178</f>
        <v>95.786823658622879</v>
      </c>
      <c r="L177" s="179">
        <f>$D$177*LOG(C177/$D$137)+$L$178</f>
        <v>77.086087746492225</v>
      </c>
      <c r="M177" s="179">
        <f>$D$177*LOG(C177/$D$137)+$M$178</f>
        <v>86.159156640020399</v>
      </c>
      <c r="N177" s="179">
        <f>$D$177*LOG(C177/$D$137)+$N$178</f>
        <v>87.271891504321019</v>
      </c>
      <c r="O177" s="11"/>
      <c r="P177" s="11"/>
      <c r="Q177" s="11"/>
      <c r="R177" s="11"/>
      <c r="S177" s="11"/>
      <c r="T177" s="11"/>
      <c r="U177" s="12"/>
      <c r="V177" s="46"/>
    </row>
    <row r="178" spans="1:22">
      <c r="A178" s="46"/>
      <c r="B178" s="155" t="s">
        <v>385</v>
      </c>
      <c r="C178" s="174">
        <v>271</v>
      </c>
      <c r="D178" s="176">
        <f t="shared" si="18"/>
        <v>41.9375</v>
      </c>
      <c r="E178" s="179">
        <f>E127</f>
        <v>80.93745141151291</v>
      </c>
      <c r="F178" s="179">
        <f t="shared" ref="F178:N178" si="19">F127</f>
        <v>82.406517393385968</v>
      </c>
      <c r="G178" s="179">
        <f t="shared" si="19"/>
        <v>81.735457997448265</v>
      </c>
      <c r="H178" s="179">
        <f t="shared" si="19"/>
        <v>82.056516095540303</v>
      </c>
      <c r="I178" s="179">
        <f t="shared" si="19"/>
        <v>80.529382708068766</v>
      </c>
      <c r="J178" s="179">
        <f t="shared" si="19"/>
        <v>81.450478965873415</v>
      </c>
      <c r="K178" s="179">
        <f t="shared" si="19"/>
        <v>90.579069589441474</v>
      </c>
      <c r="L178" s="179">
        <f t="shared" si="19"/>
        <v>71.87833367731082</v>
      </c>
      <c r="M178" s="179">
        <f t="shared" si="19"/>
        <v>80.951402570838994</v>
      </c>
      <c r="N178" s="179">
        <f t="shared" si="19"/>
        <v>82.064137435139614</v>
      </c>
      <c r="O178" s="11"/>
      <c r="P178" s="11"/>
      <c r="Q178" s="11"/>
      <c r="R178" s="11"/>
      <c r="S178" s="11"/>
      <c r="T178" s="11"/>
      <c r="U178" s="12"/>
      <c r="V178" s="46"/>
    </row>
    <row r="179" spans="1:22">
      <c r="A179" s="46"/>
      <c r="B179" s="116"/>
      <c r="C179" s="117"/>
      <c r="D179" s="184"/>
      <c r="E179" s="185"/>
      <c r="F179" s="185"/>
      <c r="G179" s="185"/>
      <c r="H179" s="185"/>
      <c r="I179" s="185"/>
      <c r="J179" s="185"/>
      <c r="K179" s="185"/>
      <c r="L179" s="185"/>
      <c r="M179" s="185"/>
      <c r="N179" s="185"/>
      <c r="O179" s="11"/>
      <c r="P179" s="11"/>
      <c r="Q179" s="11"/>
      <c r="R179" s="11"/>
      <c r="S179" s="11"/>
      <c r="T179" s="11"/>
      <c r="U179" s="12"/>
      <c r="V179" s="46"/>
    </row>
    <row r="180" spans="1:22" ht="16.5">
      <c r="A180" s="46"/>
      <c r="B180" s="116" t="s">
        <v>361</v>
      </c>
      <c r="C180" s="117"/>
      <c r="D180" s="184"/>
      <c r="E180" s="185"/>
      <c r="F180" s="185"/>
      <c r="G180" s="185"/>
      <c r="H180" s="185"/>
      <c r="I180" s="185"/>
      <c r="J180" s="185"/>
      <c r="K180" s="185"/>
      <c r="L180" s="185"/>
      <c r="M180" s="185"/>
      <c r="N180" s="185"/>
      <c r="O180" s="11"/>
      <c r="P180" s="11"/>
      <c r="Q180" s="11"/>
      <c r="R180" s="11"/>
      <c r="S180" s="11"/>
      <c r="T180" s="11"/>
      <c r="U180" s="12"/>
      <c r="V180" s="46"/>
    </row>
    <row r="181" spans="1:22">
      <c r="A181" s="46"/>
      <c r="B181" s="116" t="s">
        <v>394</v>
      </c>
      <c r="C181" s="117"/>
      <c r="D181" s="184"/>
      <c r="E181" s="185"/>
      <c r="F181" s="185"/>
      <c r="G181" s="185"/>
      <c r="H181" s="185"/>
      <c r="I181" s="185"/>
      <c r="J181" s="185"/>
      <c r="K181" s="185"/>
      <c r="L181" s="185"/>
      <c r="M181" s="185"/>
      <c r="N181" s="185"/>
      <c r="O181" s="11"/>
      <c r="P181" s="11"/>
      <c r="Q181" s="11"/>
      <c r="R181" s="11"/>
      <c r="S181" s="11"/>
      <c r="T181" s="11"/>
      <c r="U181" s="12"/>
      <c r="V181" s="46"/>
    </row>
    <row r="182" spans="1:22">
      <c r="A182" s="46"/>
      <c r="B182" s="116" t="s">
        <v>362</v>
      </c>
      <c r="C182" s="117"/>
      <c r="D182" s="184"/>
      <c r="E182" s="185"/>
      <c r="F182" s="185"/>
      <c r="G182" s="185"/>
      <c r="H182" s="185"/>
      <c r="I182" s="185"/>
      <c r="J182" s="185"/>
      <c r="K182" s="185"/>
      <c r="L182" s="185"/>
      <c r="M182" s="185"/>
      <c r="N182" s="185"/>
      <c r="O182" s="11"/>
      <c r="P182" s="11"/>
      <c r="Q182" s="11"/>
      <c r="R182" s="11"/>
      <c r="S182" s="11"/>
      <c r="T182" s="11"/>
      <c r="U182" s="12"/>
      <c r="V182" s="46"/>
    </row>
    <row r="183" spans="1:22">
      <c r="A183" s="46"/>
      <c r="B183" s="188" t="s">
        <v>407</v>
      </c>
      <c r="C183" s="76"/>
      <c r="D183" s="66"/>
      <c r="E183" s="76"/>
      <c r="F183" s="11"/>
      <c r="G183" s="11"/>
      <c r="H183" s="11"/>
      <c r="I183" s="11"/>
      <c r="J183" s="11"/>
      <c r="K183" s="11"/>
      <c r="L183" s="11"/>
      <c r="M183" s="11"/>
      <c r="N183" s="11"/>
      <c r="O183" s="11"/>
      <c r="P183" s="11"/>
      <c r="Q183" s="11"/>
      <c r="R183" s="11"/>
      <c r="S183" s="11"/>
      <c r="T183" s="11"/>
      <c r="U183" s="12"/>
      <c r="V183" s="46"/>
    </row>
    <row r="184" spans="1:22">
      <c r="A184" s="46"/>
      <c r="B184" s="116"/>
      <c r="C184" s="76"/>
      <c r="D184" s="66"/>
      <c r="E184" s="76"/>
      <c r="F184" s="11"/>
      <c r="G184" s="11"/>
      <c r="H184" s="11"/>
      <c r="I184" s="11"/>
      <c r="J184" s="11"/>
      <c r="K184" s="11"/>
      <c r="L184" s="11"/>
      <c r="M184" s="11"/>
      <c r="N184" s="11"/>
      <c r="O184" s="11"/>
      <c r="P184" s="11"/>
      <c r="Q184" s="11"/>
      <c r="R184" s="11"/>
      <c r="S184" s="11"/>
      <c r="T184" s="11"/>
      <c r="U184" s="12"/>
      <c r="V184" s="46"/>
    </row>
    <row r="185" spans="1:22" ht="16.5">
      <c r="A185" s="46"/>
      <c r="B185" s="116" t="s">
        <v>412</v>
      </c>
      <c r="C185" s="76"/>
      <c r="D185" s="66"/>
      <c r="E185" s="76"/>
      <c r="F185" s="11"/>
      <c r="G185" s="11"/>
      <c r="H185" s="11"/>
      <c r="I185" s="11"/>
      <c r="J185" s="11"/>
      <c r="K185" s="11"/>
      <c r="L185" s="11"/>
      <c r="M185" s="11"/>
      <c r="N185" s="11"/>
      <c r="O185" s="11"/>
      <c r="P185" s="11"/>
      <c r="Q185" s="11"/>
      <c r="R185" s="11"/>
      <c r="S185" s="11"/>
      <c r="T185" s="11"/>
      <c r="U185" s="12"/>
      <c r="V185" s="46"/>
    </row>
    <row r="186" spans="1:22">
      <c r="A186" s="46"/>
      <c r="B186" s="116"/>
      <c r="C186" s="11"/>
      <c r="D186" s="66"/>
      <c r="E186" s="560" t="s">
        <v>425</v>
      </c>
      <c r="F186" s="449"/>
      <c r="G186" s="449"/>
      <c r="H186" s="450"/>
      <c r="I186" s="562" t="s">
        <v>426</v>
      </c>
      <c r="J186" s="444"/>
      <c r="K186" s="445"/>
      <c r="L186" s="567" t="s">
        <v>427</v>
      </c>
      <c r="M186" s="444"/>
      <c r="N186" s="444"/>
      <c r="O186" s="444"/>
      <c r="P186" s="445"/>
      <c r="Q186" s="11"/>
      <c r="R186" s="11"/>
      <c r="S186" s="11"/>
      <c r="T186" s="11"/>
      <c r="U186" s="12"/>
      <c r="V186" s="46"/>
    </row>
    <row r="187" spans="1:22" ht="16.5">
      <c r="A187" s="46"/>
      <c r="B187" s="116"/>
      <c r="C187" s="11"/>
      <c r="D187" s="66"/>
      <c r="E187" s="158" t="s">
        <v>366</v>
      </c>
      <c r="F187" s="11"/>
      <c r="G187" s="189">
        <f>E142</f>
        <v>76.995906162421136</v>
      </c>
      <c r="H187" s="113" t="s">
        <v>28</v>
      </c>
      <c r="I187" s="11"/>
      <c r="J187" s="236">
        <f>E148-30*LOG(271/80)</f>
        <v>76.995906162421136</v>
      </c>
      <c r="K187" s="212" t="s">
        <v>28</v>
      </c>
      <c r="L187" s="125" t="s">
        <v>432</v>
      </c>
      <c r="M187" s="125"/>
      <c r="N187" s="191"/>
      <c r="O187" s="125"/>
      <c r="P187" s="125"/>
      <c r="Q187" s="11"/>
      <c r="R187" s="11"/>
      <c r="S187" s="11"/>
      <c r="T187" s="11"/>
      <c r="U187" s="12"/>
      <c r="V187" s="46"/>
    </row>
    <row r="188" spans="1:22" ht="16.5">
      <c r="A188" s="46"/>
      <c r="B188" s="116"/>
      <c r="C188" s="11"/>
      <c r="D188" s="66"/>
      <c r="E188" s="158" t="s">
        <v>367</v>
      </c>
      <c r="F188" s="11"/>
      <c r="G188" s="189">
        <f>E145</f>
        <v>91.469220689423793</v>
      </c>
      <c r="H188" s="113" t="s">
        <v>28</v>
      </c>
      <c r="I188" s="11"/>
      <c r="J188" s="236">
        <f>E148-50*LOG(271/250)</f>
        <v>91.140821168776597</v>
      </c>
      <c r="K188" s="212" t="s">
        <v>28</v>
      </c>
      <c r="L188" s="125" t="s">
        <v>434</v>
      </c>
      <c r="M188" s="125"/>
      <c r="N188" s="191"/>
      <c r="O188" s="125"/>
      <c r="P188" s="125"/>
      <c r="Q188" s="11"/>
      <c r="R188" s="11"/>
      <c r="S188" s="11"/>
      <c r="T188" s="11"/>
      <c r="U188" s="12"/>
      <c r="V188" s="46"/>
    </row>
    <row r="189" spans="1:22">
      <c r="A189" s="46"/>
      <c r="B189" s="119"/>
      <c r="C189" s="18"/>
      <c r="D189" s="137"/>
      <c r="E189" s="120"/>
      <c r="F189" s="18"/>
      <c r="G189" s="18"/>
      <c r="H189" s="18"/>
      <c r="I189" s="18"/>
      <c r="J189" s="18"/>
      <c r="K189" s="18"/>
      <c r="L189" s="18"/>
      <c r="M189" s="18"/>
      <c r="N189" s="18"/>
      <c r="O189" s="18"/>
      <c r="P189" s="18"/>
      <c r="Q189" s="18"/>
      <c r="R189" s="18"/>
      <c r="S189" s="18"/>
      <c r="T189" s="18"/>
      <c r="U189" s="19"/>
      <c r="V189" s="46"/>
    </row>
    <row r="190" spans="1:22">
      <c r="A190" s="46"/>
      <c r="B190" s="20"/>
      <c r="D190" s="6"/>
      <c r="E190" s="20"/>
      <c r="V190" s="46"/>
    </row>
    <row r="191" spans="1:22">
      <c r="B191" s="20"/>
      <c r="D191" s="6"/>
      <c r="E191" s="20"/>
      <c r="V191" s="46"/>
    </row>
    <row r="192" spans="1:22">
      <c r="B192" s="20"/>
      <c r="C192" s="39"/>
      <c r="D192" s="6"/>
      <c r="E192" s="20"/>
      <c r="V192" s="46"/>
    </row>
    <row r="193" spans="4:4">
      <c r="D193" s="4"/>
    </row>
    <row r="194" spans="4:4">
      <c r="D194" s="4"/>
    </row>
    <row r="195" spans="4:4">
      <c r="D195" s="4"/>
    </row>
  </sheetData>
  <pageMargins left="0.7" right="0.7" top="0.75" bottom="0.75" header="0.3" footer="0.3"/>
  <pageSetup scale="45" fitToHeight="3" orientation="landscape" r:id="rId1"/>
  <ignoredErrors>
    <ignoredError sqref="L91 L9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5"/>
  <sheetViews>
    <sheetView zoomScale="80" zoomScaleNormal="80" workbookViewId="0">
      <selection activeCell="H6" sqref="H6"/>
    </sheetView>
  </sheetViews>
  <sheetFormatPr defaultColWidth="9.1796875" defaultRowHeight="14.5"/>
  <cols>
    <col min="1" max="5" width="9.1796875" style="40"/>
    <col min="6" max="6" width="29.7265625" style="40" customWidth="1"/>
    <col min="7" max="7" width="36" style="40" customWidth="1"/>
    <col min="8" max="8" width="15.1796875" style="40" customWidth="1"/>
    <col min="9" max="9" width="23.179687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15" style="40" customWidth="1"/>
    <col min="16" max="16384" width="9.1796875" style="40"/>
  </cols>
  <sheetData>
    <row r="1" spans="1:15">
      <c r="A1" s="46"/>
      <c r="B1" s="7"/>
      <c r="C1" s="8"/>
      <c r="D1" s="8"/>
      <c r="E1" s="8"/>
      <c r="F1" s="8"/>
      <c r="G1" s="8"/>
      <c r="H1" s="8"/>
      <c r="I1" s="8"/>
      <c r="J1" s="8"/>
      <c r="K1" s="8"/>
      <c r="L1" s="8"/>
      <c r="M1" s="8"/>
      <c r="N1" s="8"/>
      <c r="O1" s="9"/>
    </row>
    <row r="2" spans="1:15">
      <c r="A2" s="46"/>
      <c r="B2" s="10"/>
      <c r="C2" s="11"/>
      <c r="D2" s="11"/>
      <c r="E2" s="11"/>
      <c r="F2" s="11"/>
      <c r="G2" s="11"/>
      <c r="H2" s="46" t="s">
        <v>2</v>
      </c>
      <c r="I2" s="11"/>
      <c r="J2" s="11"/>
      <c r="K2" s="11"/>
      <c r="L2" s="11"/>
      <c r="M2" s="11"/>
      <c r="N2" s="11"/>
      <c r="O2" s="12"/>
    </row>
    <row r="3" spans="1:15">
      <c r="A3" s="46"/>
      <c r="B3" s="10"/>
      <c r="C3" s="11"/>
      <c r="D3" s="11"/>
      <c r="E3" s="11"/>
      <c r="F3" s="11"/>
      <c r="G3" s="11"/>
      <c r="H3" s="46" t="s">
        <v>4</v>
      </c>
      <c r="I3" s="11"/>
      <c r="J3" s="11"/>
      <c r="K3" s="11"/>
      <c r="L3" s="11"/>
      <c r="M3" s="11"/>
      <c r="N3" s="11"/>
      <c r="O3" s="12"/>
    </row>
    <row r="4" spans="1:15">
      <c r="A4" s="46"/>
      <c r="B4" s="10"/>
      <c r="C4" s="11"/>
      <c r="D4" s="11"/>
      <c r="E4" s="11"/>
      <c r="F4" s="11"/>
      <c r="G4" s="11"/>
      <c r="H4" s="11"/>
      <c r="I4" s="11"/>
      <c r="J4" s="11"/>
      <c r="K4" s="11"/>
      <c r="L4" s="11"/>
      <c r="M4" s="11"/>
      <c r="N4" s="11"/>
      <c r="O4" s="12"/>
    </row>
    <row r="5" spans="1:15">
      <c r="A5" s="46"/>
      <c r="B5" s="10"/>
      <c r="C5" s="11"/>
      <c r="D5" s="11"/>
      <c r="E5" s="11"/>
      <c r="F5" s="11"/>
      <c r="G5" s="11"/>
      <c r="H5" s="11"/>
      <c r="I5" s="11"/>
      <c r="J5" s="11"/>
      <c r="K5" s="11"/>
      <c r="L5" s="11"/>
      <c r="M5" s="11"/>
      <c r="N5" s="11"/>
      <c r="O5" s="12"/>
    </row>
    <row r="6" spans="1:15">
      <c r="A6" s="46"/>
      <c r="B6" s="10"/>
      <c r="C6" s="13" t="s">
        <v>0</v>
      </c>
      <c r="D6" s="11"/>
      <c r="E6" s="11"/>
      <c r="F6" s="11"/>
      <c r="G6" s="734" t="s">
        <v>559</v>
      </c>
      <c r="H6" s="153" t="s">
        <v>897</v>
      </c>
      <c r="J6" s="11"/>
      <c r="K6" s="11"/>
      <c r="L6" s="14" t="s">
        <v>5</v>
      </c>
      <c r="M6" s="15">
        <f>'Program Overview'!K6</f>
        <v>7</v>
      </c>
      <c r="N6" s="16">
        <f>'Program Overview'!M6</f>
        <v>43752</v>
      </c>
      <c r="O6" s="12"/>
    </row>
    <row r="7" spans="1:15">
      <c r="A7" s="46"/>
      <c r="B7" s="10"/>
      <c r="C7" s="13" t="s">
        <v>1</v>
      </c>
      <c r="D7" s="11"/>
      <c r="E7" s="11"/>
      <c r="F7" s="11"/>
      <c r="G7" s="11"/>
      <c r="H7" s="11"/>
      <c r="I7" s="11"/>
      <c r="J7" s="11"/>
      <c r="K7" s="11"/>
      <c r="L7" s="11"/>
      <c r="M7" s="11"/>
      <c r="N7" s="11"/>
      <c r="O7" s="12"/>
    </row>
    <row r="8" spans="1:15">
      <c r="A8" s="46"/>
      <c r="B8" s="17"/>
      <c r="C8" s="18"/>
      <c r="D8" s="18"/>
      <c r="E8" s="18"/>
      <c r="F8" s="18"/>
      <c r="G8" s="18"/>
      <c r="H8" s="18"/>
      <c r="I8" s="18"/>
      <c r="J8" s="11"/>
      <c r="K8" s="11"/>
      <c r="L8" s="11"/>
      <c r="M8" s="11"/>
      <c r="N8" s="11"/>
      <c r="O8" s="12"/>
    </row>
    <row r="9" spans="1:15">
      <c r="A9" s="46"/>
      <c r="B9" s="37"/>
      <c r="C9" s="59" t="s">
        <v>197</v>
      </c>
      <c r="D9" s="59"/>
      <c r="E9" s="206">
        <v>4</v>
      </c>
      <c r="F9" s="59"/>
      <c r="G9" s="607" t="s">
        <v>200</v>
      </c>
      <c r="H9" s="59"/>
      <c r="I9" s="59"/>
      <c r="J9" s="207"/>
      <c r="K9" s="59"/>
      <c r="L9" s="59"/>
      <c r="M9" s="59" t="s">
        <v>203</v>
      </c>
      <c r="N9" s="59"/>
      <c r="O9" s="227"/>
    </row>
    <row r="10" spans="1:15">
      <c r="A10" s="46"/>
      <c r="B10" s="38"/>
      <c r="C10" s="60" t="s">
        <v>9</v>
      </c>
      <c r="D10" s="60"/>
      <c r="E10" s="95" t="s">
        <v>386</v>
      </c>
      <c r="F10" s="60"/>
      <c r="G10" s="209"/>
      <c r="H10" s="105"/>
      <c r="I10" s="60"/>
      <c r="J10" s="209"/>
      <c r="K10" s="60"/>
      <c r="L10" s="60"/>
      <c r="M10" s="60"/>
      <c r="N10" s="60"/>
      <c r="O10" s="228"/>
    </row>
    <row r="11" spans="1:15" ht="15">
      <c r="A11" s="46"/>
      <c r="B11" s="7"/>
      <c r="C11" s="8"/>
      <c r="D11" s="8"/>
      <c r="E11" s="8"/>
      <c r="F11" s="9"/>
      <c r="G11" s="67" t="s">
        <v>198</v>
      </c>
      <c r="H11" s="723"/>
      <c r="I11" s="714">
        <v>2014</v>
      </c>
      <c r="J11" s="604" t="s">
        <v>392</v>
      </c>
      <c r="K11" s="74"/>
      <c r="L11" s="73"/>
      <c r="M11" s="11"/>
      <c r="N11" s="11"/>
      <c r="O11" s="12"/>
    </row>
    <row r="12" spans="1:15">
      <c r="A12" s="46"/>
      <c r="B12" s="10"/>
      <c r="C12" s="11"/>
      <c r="D12" s="11"/>
      <c r="E12" s="11"/>
      <c r="F12" s="12"/>
      <c r="G12" s="67" t="s">
        <v>199</v>
      </c>
      <c r="H12" s="715" t="s">
        <v>390</v>
      </c>
      <c r="I12" s="712"/>
      <c r="J12" s="204" t="s">
        <v>393</v>
      </c>
      <c r="K12" s="72"/>
      <c r="L12" s="73"/>
      <c r="M12" s="11"/>
      <c r="N12" s="11"/>
      <c r="O12" s="12"/>
    </row>
    <row r="13" spans="1:15">
      <c r="A13" s="46"/>
      <c r="B13" s="10"/>
      <c r="C13" s="11"/>
      <c r="D13" s="11"/>
      <c r="E13" s="11"/>
      <c r="F13" s="12"/>
      <c r="G13" s="67" t="s">
        <v>12</v>
      </c>
      <c r="H13" s="713" t="s">
        <v>391</v>
      </c>
      <c r="I13" s="711"/>
      <c r="J13" s="75" t="s">
        <v>387</v>
      </c>
      <c r="K13" s="74"/>
      <c r="L13" s="73"/>
      <c r="M13" s="11"/>
      <c r="N13" s="11"/>
      <c r="O13" s="12"/>
    </row>
    <row r="14" spans="1:15">
      <c r="A14" s="46"/>
      <c r="B14" s="10"/>
      <c r="C14" s="11"/>
      <c r="D14" s="11"/>
      <c r="E14" s="11"/>
      <c r="F14" s="12"/>
      <c r="G14" s="603" t="s">
        <v>201</v>
      </c>
      <c r="H14" s="449"/>
      <c r="I14" s="450"/>
      <c r="J14" s="77" t="s">
        <v>388</v>
      </c>
      <c r="K14" s="66"/>
      <c r="L14" s="76"/>
      <c r="M14" s="11"/>
      <c r="N14" s="11"/>
      <c r="O14" s="12"/>
    </row>
    <row r="15" spans="1:15">
      <c r="A15" s="46"/>
      <c r="B15" s="10"/>
      <c r="C15" s="11"/>
      <c r="D15" s="11"/>
      <c r="E15" s="11"/>
      <c r="F15" s="12"/>
      <c r="G15" s="166" t="s">
        <v>29</v>
      </c>
      <c r="H15" s="405" t="s">
        <v>30</v>
      </c>
      <c r="I15" s="165" t="s">
        <v>18</v>
      </c>
      <c r="J15" s="10"/>
      <c r="K15" s="66"/>
      <c r="L15" s="76"/>
      <c r="M15" s="11"/>
      <c r="N15" s="11"/>
      <c r="O15" s="12"/>
    </row>
    <row r="16" spans="1:15">
      <c r="A16" s="46"/>
      <c r="B16" s="10"/>
      <c r="C16" s="11"/>
      <c r="D16" s="11"/>
      <c r="E16" s="11"/>
      <c r="F16" s="12"/>
      <c r="G16" s="487" t="s">
        <v>202</v>
      </c>
      <c r="H16" s="487"/>
      <c r="I16" s="488"/>
      <c r="J16" s="10"/>
      <c r="K16" s="66"/>
      <c r="L16" s="76"/>
      <c r="M16" s="11"/>
      <c r="N16" s="11"/>
      <c r="O16" s="12"/>
    </row>
    <row r="17" spans="1:15">
      <c r="A17" s="46"/>
      <c r="B17" s="10"/>
      <c r="C17" s="11"/>
      <c r="D17" s="11"/>
      <c r="E17" s="11"/>
      <c r="F17" s="11"/>
      <c r="G17" s="97" t="s">
        <v>14</v>
      </c>
      <c r="H17" s="61">
        <v>25.640999999999998</v>
      </c>
      <c r="I17" s="61" t="s">
        <v>15</v>
      </c>
      <c r="J17" s="77"/>
      <c r="K17" s="66"/>
      <c r="L17" s="76"/>
      <c r="M17" s="11"/>
      <c r="N17" s="11"/>
      <c r="O17" s="12"/>
    </row>
    <row r="18" spans="1:15">
      <c r="A18" s="46"/>
      <c r="B18" s="10"/>
      <c r="C18" s="11"/>
      <c r="D18" s="11"/>
      <c r="E18" s="11"/>
      <c r="F18" s="11"/>
      <c r="G18" s="192" t="s">
        <v>389</v>
      </c>
      <c r="H18" s="201">
        <v>24.786000000000001</v>
      </c>
      <c r="I18" s="202" t="s">
        <v>15</v>
      </c>
      <c r="J18" s="77"/>
      <c r="K18" s="66"/>
      <c r="L18" s="76"/>
      <c r="M18" s="11"/>
      <c r="N18" s="11"/>
      <c r="O18" s="12"/>
    </row>
    <row r="19" spans="1:15">
      <c r="A19" s="46"/>
      <c r="B19" s="10"/>
      <c r="C19" s="11"/>
      <c r="D19" s="11"/>
      <c r="E19" s="11"/>
      <c r="F19" s="11"/>
      <c r="G19" s="97" t="s">
        <v>21</v>
      </c>
      <c r="H19" s="61">
        <v>2</v>
      </c>
      <c r="I19" s="61"/>
      <c r="J19" s="77"/>
      <c r="K19" s="66"/>
      <c r="L19" s="76"/>
      <c r="M19" s="11"/>
      <c r="N19" s="11"/>
      <c r="O19" s="12"/>
    </row>
    <row r="20" spans="1:15">
      <c r="A20" s="46"/>
      <c r="B20" s="10"/>
      <c r="C20" s="11"/>
      <c r="D20" s="11"/>
      <c r="E20" s="11"/>
      <c r="F20" s="11"/>
      <c r="G20" s="97" t="s">
        <v>33</v>
      </c>
      <c r="H20" s="98">
        <v>6</v>
      </c>
      <c r="I20" s="61"/>
      <c r="J20" s="10"/>
      <c r="K20" s="66"/>
      <c r="L20" s="76"/>
      <c r="M20" s="11"/>
      <c r="N20" s="11"/>
      <c r="O20" s="12"/>
    </row>
    <row r="21" spans="1:15">
      <c r="A21" s="46"/>
      <c r="B21" s="17"/>
      <c r="C21" s="18"/>
      <c r="D21" s="18"/>
      <c r="E21" s="18"/>
      <c r="F21" s="18"/>
      <c r="G21" s="97" t="s">
        <v>17</v>
      </c>
      <c r="H21" s="61">
        <v>200</v>
      </c>
      <c r="I21" s="61" t="s">
        <v>15</v>
      </c>
      <c r="J21" s="17"/>
      <c r="K21" s="108"/>
      <c r="L21" s="18"/>
      <c r="M21" s="18"/>
      <c r="N21" s="18"/>
      <c r="O21" s="205"/>
    </row>
    <row r="22" spans="1:15" ht="38.25" customHeight="1">
      <c r="A22" s="46"/>
      <c r="B22" s="517" t="s">
        <v>192</v>
      </c>
      <c r="C22" s="580" t="s">
        <v>212</v>
      </c>
      <c r="D22" s="491"/>
      <c r="E22" s="401" t="s">
        <v>26</v>
      </c>
      <c r="F22" s="578" t="s">
        <v>196</v>
      </c>
      <c r="G22" s="97" t="s">
        <v>189</v>
      </c>
      <c r="H22" s="70">
        <v>271</v>
      </c>
      <c r="I22" s="70" t="s">
        <v>19</v>
      </c>
      <c r="J22" s="412"/>
      <c r="K22" s="411"/>
      <c r="L22" s="411"/>
      <c r="M22" s="411" t="s">
        <v>207</v>
      </c>
      <c r="N22" s="411"/>
      <c r="O22" s="409"/>
    </row>
    <row r="23" spans="1:15" ht="16.5">
      <c r="A23" s="46"/>
      <c r="B23" s="471"/>
      <c r="C23" s="2" t="s">
        <v>27</v>
      </c>
      <c r="D23" s="2" t="s">
        <v>28</v>
      </c>
      <c r="E23" s="490"/>
      <c r="F23" s="489"/>
      <c r="G23" s="97" t="s">
        <v>22</v>
      </c>
      <c r="H23" s="70">
        <v>1</v>
      </c>
      <c r="I23" s="99"/>
      <c r="J23" s="10" t="s">
        <v>209</v>
      </c>
      <c r="K23" s="11"/>
      <c r="L23" s="11"/>
      <c r="M23" s="11"/>
      <c r="N23" s="11"/>
      <c r="O23" s="12"/>
    </row>
    <row r="24" spans="1:15" ht="15" customHeight="1">
      <c r="A24" s="46"/>
      <c r="B24" s="23">
        <v>1</v>
      </c>
      <c r="C24" s="194">
        <v>1</v>
      </c>
      <c r="D24" s="196">
        <v>78.8</v>
      </c>
      <c r="E24" s="193">
        <f>0.00002*(10^(D24/20))</f>
        <v>0.17419271799121638</v>
      </c>
      <c r="F24" s="58"/>
      <c r="G24" s="97" t="s">
        <v>23</v>
      </c>
      <c r="H24" s="100">
        <v>7.5</v>
      </c>
      <c r="I24" s="99" t="s">
        <v>15</v>
      </c>
      <c r="J24" s="10" t="s">
        <v>208</v>
      </c>
      <c r="K24" s="11"/>
      <c r="L24" s="11"/>
      <c r="M24" s="11"/>
      <c r="N24" s="11"/>
      <c r="O24" s="12"/>
    </row>
    <row r="25" spans="1:15" ht="15" customHeight="1">
      <c r="A25" s="46"/>
      <c r="B25" s="23">
        <f>B24+1</f>
        <v>2</v>
      </c>
      <c r="C25" s="194">
        <v>1.05</v>
      </c>
      <c r="D25" s="196">
        <v>79.5</v>
      </c>
      <c r="E25" s="193">
        <f t="shared" ref="E25:E88" si="0">0.00002*(10^(D25/20))</f>
        <v>0.18881217525718491</v>
      </c>
      <c r="F25" s="58"/>
      <c r="G25" s="97" t="s">
        <v>24</v>
      </c>
      <c r="H25" s="100">
        <v>1.5</v>
      </c>
      <c r="I25" s="99" t="s">
        <v>15</v>
      </c>
      <c r="J25" s="10" t="s">
        <v>210</v>
      </c>
      <c r="K25" s="11"/>
      <c r="L25" s="11"/>
      <c r="M25" s="11"/>
      <c r="N25" s="11"/>
      <c r="O25" s="12"/>
    </row>
    <row r="26" spans="1:15" ht="15" customHeight="1">
      <c r="A26" s="46"/>
      <c r="B26" s="23">
        <f t="shared" ref="B26:B89" si="1">B25+1</f>
        <v>3</v>
      </c>
      <c r="C26" s="194">
        <v>1.1000000000000001</v>
      </c>
      <c r="D26" s="196">
        <v>81.3</v>
      </c>
      <c r="E26" s="193">
        <f t="shared" si="0"/>
        <v>0.23228972276806861</v>
      </c>
      <c r="F26" s="58"/>
      <c r="G26" s="97" t="s">
        <v>815</v>
      </c>
      <c r="H26" s="100">
        <v>0.05</v>
      </c>
      <c r="I26" s="99" t="s">
        <v>20</v>
      </c>
      <c r="J26" s="10"/>
      <c r="K26" s="11"/>
      <c r="L26" s="11"/>
      <c r="M26" s="11"/>
      <c r="N26" s="11"/>
      <c r="O26" s="12"/>
    </row>
    <row r="27" spans="1:15" ht="15" customHeight="1">
      <c r="A27" s="46"/>
      <c r="B27" s="23">
        <f t="shared" si="1"/>
        <v>4</v>
      </c>
      <c r="C27" s="194">
        <v>1.1499999999999999</v>
      </c>
      <c r="D27" s="196">
        <v>83.1</v>
      </c>
      <c r="E27" s="193">
        <f t="shared" si="0"/>
        <v>0.28577879170222042</v>
      </c>
      <c r="F27" s="58"/>
      <c r="G27" s="97" t="s">
        <v>816</v>
      </c>
      <c r="H27" s="203">
        <v>71</v>
      </c>
      <c r="I27" s="99"/>
      <c r="J27" s="17"/>
      <c r="K27" s="18"/>
      <c r="L27" s="18"/>
      <c r="M27" s="18"/>
      <c r="N27" s="18"/>
      <c r="O27" s="19"/>
    </row>
    <row r="28" spans="1:15" ht="15" customHeight="1">
      <c r="A28" s="46"/>
      <c r="B28" s="23">
        <f t="shared" si="1"/>
        <v>5</v>
      </c>
      <c r="C28" s="194">
        <v>1.2</v>
      </c>
      <c r="D28" s="196">
        <v>85.9</v>
      </c>
      <c r="E28" s="193">
        <f t="shared" si="0"/>
        <v>0.39448454722297138</v>
      </c>
      <c r="F28" s="58"/>
      <c r="G28" s="79"/>
      <c r="H28" s="80"/>
      <c r="I28" s="81"/>
      <c r="J28" s="46"/>
      <c r="K28" s="46"/>
      <c r="L28" s="46"/>
      <c r="M28" s="46"/>
      <c r="N28" s="46"/>
      <c r="O28" s="46"/>
    </row>
    <row r="29" spans="1:15" ht="15" customHeight="1">
      <c r="A29" s="46"/>
      <c r="B29" s="23">
        <f t="shared" si="1"/>
        <v>6</v>
      </c>
      <c r="C29" s="194">
        <v>1.25</v>
      </c>
      <c r="D29" s="196">
        <v>88.3</v>
      </c>
      <c r="E29" s="193">
        <f t="shared" si="0"/>
        <v>0.52003191263305459</v>
      </c>
      <c r="F29" s="58"/>
      <c r="G29" s="608" t="s">
        <v>204</v>
      </c>
      <c r="H29" s="602"/>
      <c r="I29" s="602"/>
      <c r="J29" s="602"/>
      <c r="K29" s="602"/>
      <c r="L29" s="602"/>
      <c r="M29" s="602"/>
      <c r="N29" s="602"/>
      <c r="O29" s="571"/>
    </row>
    <row r="30" spans="1:15" ht="15" customHeight="1">
      <c r="A30" s="46"/>
      <c r="B30" s="23">
        <f t="shared" si="1"/>
        <v>7</v>
      </c>
      <c r="C30" s="194">
        <v>1.3</v>
      </c>
      <c r="D30" s="196">
        <v>90.2</v>
      </c>
      <c r="E30" s="193">
        <f t="shared" si="0"/>
        <v>0.64718731385925743</v>
      </c>
      <c r="F30" s="58" t="s">
        <v>190</v>
      </c>
      <c r="G30" s="82"/>
      <c r="H30" s="82"/>
      <c r="I30" s="81"/>
      <c r="J30" s="46"/>
      <c r="K30" s="46"/>
      <c r="L30" s="46"/>
      <c r="M30" s="46"/>
      <c r="N30" s="46"/>
      <c r="O30" s="46"/>
    </row>
    <row r="31" spans="1:15" ht="15" customHeight="1">
      <c r="A31" s="46"/>
      <c r="B31" s="23">
        <f t="shared" si="1"/>
        <v>8</v>
      </c>
      <c r="C31" s="194">
        <v>1.35</v>
      </c>
      <c r="D31" s="196">
        <v>92.9</v>
      </c>
      <c r="E31" s="193">
        <f t="shared" si="0"/>
        <v>0.8831408947066266</v>
      </c>
      <c r="F31" s="58"/>
      <c r="G31" s="82"/>
      <c r="H31" s="82"/>
      <c r="I31" s="81"/>
      <c r="J31" s="46"/>
      <c r="K31" s="46"/>
      <c r="L31" s="46"/>
      <c r="M31" s="46"/>
      <c r="N31" s="46"/>
      <c r="O31" s="46"/>
    </row>
    <row r="32" spans="1:15" ht="15" customHeight="1">
      <c r="A32" s="46"/>
      <c r="B32" s="23">
        <f t="shared" si="1"/>
        <v>9</v>
      </c>
      <c r="C32" s="194">
        <v>1.4</v>
      </c>
      <c r="D32" s="196">
        <v>93</v>
      </c>
      <c r="E32" s="193">
        <f t="shared" si="0"/>
        <v>0.89336718430192785</v>
      </c>
      <c r="F32" s="58"/>
      <c r="G32" s="82"/>
      <c r="H32" s="82"/>
      <c r="I32" s="81"/>
      <c r="J32" s="46"/>
      <c r="K32" s="46"/>
      <c r="L32" s="46"/>
      <c r="M32" s="46"/>
      <c r="N32" s="46"/>
      <c r="O32" s="46"/>
    </row>
    <row r="33" spans="1:15" ht="15" customHeight="1">
      <c r="A33" s="46"/>
      <c r="B33" s="23">
        <f t="shared" si="1"/>
        <v>10</v>
      </c>
      <c r="C33" s="194">
        <v>1.45</v>
      </c>
      <c r="D33" s="196">
        <v>93.4</v>
      </c>
      <c r="E33" s="193">
        <f t="shared" si="0"/>
        <v>0.9354702825743979</v>
      </c>
      <c r="F33" s="58"/>
      <c r="G33" s="82"/>
      <c r="H33" s="82"/>
      <c r="I33" s="81"/>
      <c r="J33" s="46"/>
      <c r="K33" s="46"/>
      <c r="L33" s="46"/>
      <c r="M33" s="46"/>
      <c r="N33" s="46"/>
      <c r="O33" s="46"/>
    </row>
    <row r="34" spans="1:15" ht="15" customHeight="1">
      <c r="A34" s="46"/>
      <c r="B34" s="23">
        <f t="shared" si="1"/>
        <v>11</v>
      </c>
      <c r="C34" s="194">
        <v>1.5</v>
      </c>
      <c r="D34" s="196">
        <v>93.7</v>
      </c>
      <c r="E34" s="193">
        <f t="shared" si="0"/>
        <v>0.96834473516820019</v>
      </c>
      <c r="F34" s="58"/>
      <c r="G34" s="82"/>
      <c r="H34" s="82"/>
      <c r="I34" s="81"/>
      <c r="J34" s="46"/>
      <c r="K34" s="46"/>
      <c r="L34" s="46"/>
      <c r="M34" s="46"/>
      <c r="N34" s="46"/>
      <c r="O34" s="46"/>
    </row>
    <row r="35" spans="1:15" ht="15" customHeight="1">
      <c r="A35" s="46"/>
      <c r="B35" s="23">
        <f t="shared" si="1"/>
        <v>12</v>
      </c>
      <c r="C35" s="194">
        <v>1.55</v>
      </c>
      <c r="D35" s="196">
        <v>93.4</v>
      </c>
      <c r="E35" s="193">
        <f t="shared" si="0"/>
        <v>0.9354702825743979</v>
      </c>
      <c r="F35" s="58"/>
      <c r="G35" s="82"/>
      <c r="H35" s="82"/>
      <c r="I35" s="81"/>
      <c r="J35" s="46"/>
      <c r="K35" s="46"/>
      <c r="L35" s="46"/>
      <c r="M35" s="46"/>
      <c r="N35" s="46"/>
      <c r="O35" s="46"/>
    </row>
    <row r="36" spans="1:15" ht="15" customHeight="1">
      <c r="A36" s="46"/>
      <c r="B36" s="23">
        <f t="shared" si="1"/>
        <v>13</v>
      </c>
      <c r="C36" s="194">
        <v>1.6</v>
      </c>
      <c r="D36" s="196">
        <v>94.1</v>
      </c>
      <c r="E36" s="193">
        <f t="shared" si="0"/>
        <v>1.0139814165494101</v>
      </c>
      <c r="F36" s="58"/>
      <c r="G36" s="82"/>
      <c r="H36" s="82"/>
      <c r="I36" s="81"/>
      <c r="J36" s="46"/>
      <c r="K36" s="46"/>
      <c r="L36" s="46"/>
      <c r="M36" s="46"/>
      <c r="N36" s="46"/>
      <c r="O36" s="46"/>
    </row>
    <row r="37" spans="1:15" ht="15" customHeight="1">
      <c r="A37" s="46"/>
      <c r="B37" s="23">
        <f t="shared" si="1"/>
        <v>14</v>
      </c>
      <c r="C37" s="194">
        <v>1.65</v>
      </c>
      <c r="D37" s="196">
        <v>93.4</v>
      </c>
      <c r="E37" s="193">
        <f t="shared" si="0"/>
        <v>0.9354702825743979</v>
      </c>
      <c r="F37" s="58"/>
      <c r="G37" s="82"/>
      <c r="H37" s="82"/>
      <c r="I37" s="81"/>
      <c r="J37" s="46"/>
      <c r="K37" s="46"/>
      <c r="L37" s="46"/>
      <c r="M37" s="46"/>
      <c r="N37" s="46"/>
      <c r="O37" s="46"/>
    </row>
    <row r="38" spans="1:15" ht="15" customHeight="1">
      <c r="A38" s="46"/>
      <c r="B38" s="23">
        <f t="shared" si="1"/>
        <v>15</v>
      </c>
      <c r="C38" s="194">
        <v>1.7</v>
      </c>
      <c r="D38" s="196">
        <v>94.3</v>
      </c>
      <c r="E38" s="193">
        <f t="shared" si="0"/>
        <v>1.0376000778579235</v>
      </c>
      <c r="F38" s="58"/>
      <c r="G38" s="82"/>
      <c r="H38" s="82"/>
      <c r="I38" s="81"/>
      <c r="J38" s="46"/>
      <c r="K38" s="46"/>
      <c r="L38" s="46"/>
      <c r="M38" s="46"/>
      <c r="N38" s="46"/>
      <c r="O38" s="46"/>
    </row>
    <row r="39" spans="1:15" ht="15" customHeight="1">
      <c r="A39" s="46"/>
      <c r="B39" s="23">
        <f t="shared" si="1"/>
        <v>16</v>
      </c>
      <c r="C39" s="194">
        <v>1.75</v>
      </c>
      <c r="D39" s="196">
        <v>94.2</v>
      </c>
      <c r="E39" s="193">
        <f t="shared" si="0"/>
        <v>1.025722767982731</v>
      </c>
      <c r="F39" s="58"/>
      <c r="G39" s="82"/>
      <c r="H39" s="82"/>
      <c r="I39" s="81"/>
      <c r="J39" s="46"/>
      <c r="K39" s="46"/>
      <c r="L39" s="46"/>
      <c r="M39" s="46"/>
      <c r="N39" s="46"/>
      <c r="O39" s="46"/>
    </row>
    <row r="40" spans="1:15" ht="15" customHeight="1">
      <c r="A40" s="46"/>
      <c r="B40" s="23">
        <f t="shared" si="1"/>
        <v>17</v>
      </c>
      <c r="C40" s="194">
        <v>1.8</v>
      </c>
      <c r="D40" s="196">
        <v>93.8</v>
      </c>
      <c r="E40" s="193">
        <f t="shared" si="0"/>
        <v>0.97955763873689206</v>
      </c>
      <c r="F40" s="58"/>
      <c r="G40" s="82"/>
      <c r="H40" s="82"/>
      <c r="I40" s="81"/>
      <c r="J40" s="46"/>
      <c r="K40" s="46"/>
      <c r="L40" s="46"/>
      <c r="M40" s="46"/>
      <c r="N40" s="46"/>
      <c r="O40" s="46"/>
    </row>
    <row r="41" spans="1:15" ht="15" customHeight="1">
      <c r="A41" s="46"/>
      <c r="B41" s="23">
        <f t="shared" si="1"/>
        <v>18</v>
      </c>
      <c r="C41" s="194">
        <v>1.85</v>
      </c>
      <c r="D41" s="196">
        <v>93.5</v>
      </c>
      <c r="E41" s="193">
        <f t="shared" si="0"/>
        <v>0.94630251792296072</v>
      </c>
      <c r="F41" s="58"/>
      <c r="G41" s="82"/>
      <c r="H41" s="82"/>
      <c r="I41" s="81"/>
      <c r="J41" s="46"/>
      <c r="K41" s="46"/>
      <c r="L41" s="46"/>
      <c r="M41" s="46"/>
      <c r="N41" s="46"/>
      <c r="O41" s="46"/>
    </row>
    <row r="42" spans="1:15" ht="15" customHeight="1">
      <c r="A42" s="46"/>
      <c r="B42" s="23">
        <f t="shared" si="1"/>
        <v>19</v>
      </c>
      <c r="C42" s="194">
        <v>1.9</v>
      </c>
      <c r="D42" s="196">
        <v>94</v>
      </c>
      <c r="E42" s="193">
        <f t="shared" si="0"/>
        <v>1.002374467254546</v>
      </c>
      <c r="F42" s="58"/>
      <c r="G42" s="79"/>
      <c r="H42" s="82"/>
      <c r="I42" s="83"/>
      <c r="J42" s="46"/>
      <c r="K42" s="46"/>
      <c r="L42" s="46"/>
      <c r="M42" s="46"/>
      <c r="N42" s="46"/>
      <c r="O42" s="46"/>
    </row>
    <row r="43" spans="1:15" ht="15" customHeight="1">
      <c r="A43" s="46"/>
      <c r="B43" s="23">
        <f t="shared" si="1"/>
        <v>20</v>
      </c>
      <c r="C43" s="195">
        <v>1.95</v>
      </c>
      <c r="D43" s="198">
        <v>93.9</v>
      </c>
      <c r="E43" s="193">
        <f t="shared" si="0"/>
        <v>0.99090038160958194</v>
      </c>
      <c r="F43" s="58"/>
      <c r="G43" s="82"/>
      <c r="H43" s="82"/>
      <c r="I43" s="81"/>
      <c r="J43" s="46"/>
      <c r="K43" s="46"/>
      <c r="L43" s="46"/>
      <c r="M43" s="46"/>
      <c r="N43" s="46"/>
      <c r="O43" s="46"/>
    </row>
    <row r="44" spans="1:15" ht="15" customHeight="1">
      <c r="A44" s="46"/>
      <c r="B44" s="23">
        <f t="shared" si="1"/>
        <v>21</v>
      </c>
      <c r="C44" s="194">
        <v>2</v>
      </c>
      <c r="D44" s="196">
        <v>93.8</v>
      </c>
      <c r="E44" s="193">
        <f t="shared" si="0"/>
        <v>0.97955763873689206</v>
      </c>
      <c r="F44" s="58"/>
      <c r="G44" s="82"/>
      <c r="H44" s="82"/>
      <c r="I44" s="81"/>
      <c r="J44" s="46"/>
      <c r="K44" s="46"/>
      <c r="L44" s="46"/>
      <c r="M44" s="46"/>
      <c r="N44" s="46"/>
      <c r="O44" s="46"/>
    </row>
    <row r="45" spans="1:15" ht="15" customHeight="1">
      <c r="A45" s="46"/>
      <c r="B45" s="23">
        <f t="shared" si="1"/>
        <v>22</v>
      </c>
      <c r="C45" s="194">
        <v>2.0499999999999998</v>
      </c>
      <c r="D45" s="196">
        <v>93.2</v>
      </c>
      <c r="E45" s="193">
        <f t="shared" si="0"/>
        <v>0.9141763792297517</v>
      </c>
      <c r="F45" s="58"/>
      <c r="G45" s="84"/>
      <c r="H45" s="82"/>
      <c r="I45" s="81"/>
      <c r="J45" s="46"/>
      <c r="K45" s="46"/>
      <c r="L45" s="46"/>
      <c r="M45" s="46"/>
      <c r="N45" s="46"/>
      <c r="O45" s="46"/>
    </row>
    <row r="46" spans="1:15" ht="15" customHeight="1">
      <c r="A46" s="46"/>
      <c r="B46" s="23">
        <f t="shared" si="1"/>
        <v>23</v>
      </c>
      <c r="C46" s="194">
        <v>2.1</v>
      </c>
      <c r="D46" s="196">
        <v>93.1</v>
      </c>
      <c r="E46" s="193">
        <f t="shared" si="0"/>
        <v>0.90371188874984476</v>
      </c>
      <c r="F46" s="89"/>
      <c r="G46" s="84"/>
      <c r="H46" s="82"/>
      <c r="I46" s="81"/>
      <c r="J46" s="46"/>
      <c r="K46" s="46"/>
      <c r="L46" s="46"/>
      <c r="M46" s="46"/>
      <c r="N46" s="46"/>
      <c r="O46" s="46"/>
    </row>
    <row r="47" spans="1:15" ht="15" customHeight="1">
      <c r="A47" s="46"/>
      <c r="B47" s="23">
        <f t="shared" si="1"/>
        <v>24</v>
      </c>
      <c r="C47" s="194">
        <v>2.15</v>
      </c>
      <c r="D47" s="196">
        <v>92.7</v>
      </c>
      <c r="E47" s="193">
        <f t="shared" si="0"/>
        <v>0.86303815365553072</v>
      </c>
      <c r="F47" s="58"/>
      <c r="G47" s="84"/>
      <c r="H47" s="82"/>
      <c r="I47" s="81"/>
      <c r="J47" s="46"/>
      <c r="K47" s="46"/>
      <c r="L47" s="46"/>
      <c r="M47" s="46"/>
      <c r="N47" s="46"/>
      <c r="O47" s="46"/>
    </row>
    <row r="48" spans="1:15" ht="15" customHeight="1">
      <c r="A48" s="46"/>
      <c r="B48" s="23">
        <f t="shared" si="1"/>
        <v>25</v>
      </c>
      <c r="C48" s="194">
        <v>2.2000000000000002</v>
      </c>
      <c r="D48" s="196">
        <v>92.5</v>
      </c>
      <c r="E48" s="193">
        <f t="shared" si="0"/>
        <v>0.84339300685716478</v>
      </c>
      <c r="F48" s="58"/>
      <c r="G48" s="84"/>
      <c r="H48" s="82"/>
      <c r="I48" s="81"/>
      <c r="J48" s="46"/>
      <c r="K48" s="46"/>
      <c r="L48" s="46"/>
      <c r="M48" s="46"/>
      <c r="N48" s="46"/>
      <c r="O48" s="46"/>
    </row>
    <row r="49" spans="1:15" ht="15" customHeight="1">
      <c r="A49" s="46"/>
      <c r="B49" s="23">
        <f t="shared" si="1"/>
        <v>26</v>
      </c>
      <c r="C49" s="194">
        <v>2.25</v>
      </c>
      <c r="D49" s="196">
        <v>93.2</v>
      </c>
      <c r="E49" s="193">
        <f t="shared" si="0"/>
        <v>0.9141763792297517</v>
      </c>
      <c r="F49" s="58"/>
      <c r="G49" s="84"/>
      <c r="H49" s="82"/>
      <c r="I49" s="85"/>
      <c r="J49" s="46"/>
      <c r="K49" s="46"/>
      <c r="L49" s="46"/>
      <c r="M49" s="46"/>
      <c r="N49" s="46"/>
      <c r="O49" s="46"/>
    </row>
    <row r="50" spans="1:15" ht="15" customHeight="1">
      <c r="A50" s="46"/>
      <c r="B50" s="23">
        <f t="shared" si="1"/>
        <v>27</v>
      </c>
      <c r="C50" s="194">
        <v>2.2999999999999998</v>
      </c>
      <c r="D50" s="196">
        <v>93.4</v>
      </c>
      <c r="E50" s="193">
        <f t="shared" si="0"/>
        <v>0.9354702825743979</v>
      </c>
      <c r="F50" s="58"/>
      <c r="G50" s="84"/>
      <c r="H50" s="82"/>
      <c r="I50" s="85"/>
      <c r="J50" s="46"/>
      <c r="K50" s="46"/>
      <c r="L50" s="46"/>
      <c r="M50" s="46"/>
      <c r="N50" s="46"/>
      <c r="O50" s="46"/>
    </row>
    <row r="51" spans="1:15" ht="15" customHeight="1">
      <c r="A51" s="46"/>
      <c r="B51" s="23">
        <f t="shared" si="1"/>
        <v>28</v>
      </c>
      <c r="C51" s="194">
        <v>2.35</v>
      </c>
      <c r="D51" s="196">
        <v>93.3</v>
      </c>
      <c r="E51" s="193">
        <f t="shared" si="0"/>
        <v>0.92476204279852225</v>
      </c>
      <c r="F51" s="58"/>
      <c r="G51" s="84"/>
      <c r="H51" s="82"/>
      <c r="I51" s="86"/>
      <c r="J51" s="46"/>
      <c r="K51" s="46"/>
      <c r="L51" s="46"/>
      <c r="M51" s="46"/>
      <c r="N51" s="46"/>
      <c r="O51" s="46"/>
    </row>
    <row r="52" spans="1:15" ht="15" customHeight="1">
      <c r="A52" s="46"/>
      <c r="B52" s="23">
        <f t="shared" si="1"/>
        <v>29</v>
      </c>
      <c r="C52" s="194">
        <v>2.4</v>
      </c>
      <c r="D52" s="196">
        <v>93.4</v>
      </c>
      <c r="E52" s="193">
        <f t="shared" si="0"/>
        <v>0.9354702825743979</v>
      </c>
      <c r="F52" s="58"/>
      <c r="G52" s="84"/>
      <c r="H52" s="82"/>
      <c r="I52" s="86"/>
      <c r="J52" s="46"/>
      <c r="K52" s="46"/>
      <c r="L52" s="46"/>
      <c r="M52" s="46"/>
      <c r="N52" s="46"/>
      <c r="O52" s="46"/>
    </row>
    <row r="53" spans="1:15" ht="15" customHeight="1">
      <c r="A53" s="46"/>
      <c r="B53" s="23">
        <f t="shared" si="1"/>
        <v>30</v>
      </c>
      <c r="C53" s="194">
        <v>2.4500000000000002</v>
      </c>
      <c r="D53" s="196">
        <v>93.6</v>
      </c>
      <c r="E53" s="193">
        <f t="shared" si="0"/>
        <v>0.95726018464527651</v>
      </c>
      <c r="F53" s="58"/>
      <c r="G53" s="84"/>
      <c r="H53" s="82"/>
      <c r="I53" s="86"/>
      <c r="J53" s="46"/>
      <c r="K53" s="46"/>
      <c r="L53" s="46"/>
      <c r="M53" s="46"/>
      <c r="N53" s="46"/>
      <c r="O53" s="46"/>
    </row>
    <row r="54" spans="1:15" ht="15" customHeight="1">
      <c r="A54" s="46"/>
      <c r="B54" s="23">
        <f t="shared" si="1"/>
        <v>31</v>
      </c>
      <c r="C54" s="194">
        <v>2.5</v>
      </c>
      <c r="D54" s="196">
        <v>93.9</v>
      </c>
      <c r="E54" s="193">
        <f t="shared" si="0"/>
        <v>0.99090038160958194</v>
      </c>
      <c r="F54" s="58"/>
      <c r="G54" s="84"/>
      <c r="H54" s="82"/>
      <c r="I54" s="85"/>
      <c r="J54" s="46"/>
      <c r="K54" s="46"/>
      <c r="L54" s="46"/>
      <c r="M54" s="46"/>
      <c r="N54" s="46"/>
      <c r="O54" s="46"/>
    </row>
    <row r="55" spans="1:15" ht="15" customHeight="1">
      <c r="A55" s="46"/>
      <c r="B55" s="23">
        <f t="shared" si="1"/>
        <v>32</v>
      </c>
      <c r="C55" s="194">
        <v>2.5499999999999998</v>
      </c>
      <c r="D55" s="196">
        <v>93.7</v>
      </c>
      <c r="E55" s="193">
        <f t="shared" si="0"/>
        <v>0.96834473516820019</v>
      </c>
      <c r="F55" s="58"/>
      <c r="G55" s="84"/>
      <c r="H55" s="82"/>
      <c r="I55" s="85"/>
      <c r="J55" s="46"/>
      <c r="K55" s="46"/>
      <c r="L55" s="46"/>
      <c r="M55" s="46"/>
      <c r="N55" s="46"/>
      <c r="O55" s="46"/>
    </row>
    <row r="56" spans="1:15" ht="15" customHeight="1">
      <c r="A56" s="46"/>
      <c r="B56" s="23">
        <f t="shared" si="1"/>
        <v>33</v>
      </c>
      <c r="C56" s="194">
        <v>2.6</v>
      </c>
      <c r="D56" s="196">
        <v>94.1</v>
      </c>
      <c r="E56" s="193">
        <f t="shared" si="0"/>
        <v>1.0139814165494101</v>
      </c>
      <c r="F56" s="58"/>
      <c r="G56" s="79"/>
      <c r="H56" s="82"/>
      <c r="I56" s="85"/>
      <c r="J56" s="46"/>
      <c r="K56" s="46"/>
      <c r="L56" s="46"/>
      <c r="M56" s="46"/>
      <c r="N56" s="46"/>
      <c r="O56" s="46"/>
    </row>
    <row r="57" spans="1:15" ht="15" customHeight="1">
      <c r="A57" s="46"/>
      <c r="B57" s="23">
        <f t="shared" si="1"/>
        <v>34</v>
      </c>
      <c r="C57" s="194">
        <v>2.65</v>
      </c>
      <c r="D57" s="196">
        <v>94.5</v>
      </c>
      <c r="E57" s="193">
        <f t="shared" si="0"/>
        <v>1.0617688884619778</v>
      </c>
      <c r="F57" s="58"/>
      <c r="G57" s="82"/>
      <c r="H57" s="82"/>
      <c r="I57" s="85"/>
      <c r="J57" s="46"/>
      <c r="K57" s="46"/>
      <c r="L57" s="46"/>
      <c r="M57" s="46"/>
      <c r="N57" s="46"/>
      <c r="O57" s="46"/>
    </row>
    <row r="58" spans="1:15" ht="15" customHeight="1">
      <c r="A58" s="46"/>
      <c r="B58" s="23">
        <f t="shared" si="1"/>
        <v>35</v>
      </c>
      <c r="C58" s="194">
        <v>2.7</v>
      </c>
      <c r="D58" s="196">
        <v>94.7</v>
      </c>
      <c r="E58" s="193">
        <f t="shared" si="0"/>
        <v>1.0865006629848677</v>
      </c>
      <c r="F58" s="58"/>
      <c r="G58" s="82"/>
      <c r="H58" s="82"/>
      <c r="I58" s="85"/>
      <c r="J58" s="46"/>
      <c r="K58" s="46"/>
      <c r="L58" s="46"/>
      <c r="M58" s="46"/>
      <c r="N58" s="46"/>
      <c r="O58" s="46"/>
    </row>
    <row r="59" spans="1:15" ht="15" customHeight="1">
      <c r="A59" s="46"/>
      <c r="B59" s="23">
        <f t="shared" si="1"/>
        <v>36</v>
      </c>
      <c r="C59" s="194">
        <v>2.75</v>
      </c>
      <c r="D59" s="196">
        <v>94.2</v>
      </c>
      <c r="E59" s="193">
        <f t="shared" si="0"/>
        <v>1.025722767982731</v>
      </c>
      <c r="F59" s="58"/>
      <c r="G59" s="79"/>
      <c r="H59" s="82"/>
      <c r="I59" s="85"/>
      <c r="J59" s="46"/>
      <c r="K59" s="46"/>
      <c r="L59" s="46"/>
      <c r="M59" s="46"/>
      <c r="N59" s="46"/>
      <c r="O59" s="46"/>
    </row>
    <row r="60" spans="1:15" ht="15" customHeight="1">
      <c r="A60" s="46"/>
      <c r="B60" s="23">
        <f t="shared" si="1"/>
        <v>37</v>
      </c>
      <c r="C60" s="194">
        <v>2.8</v>
      </c>
      <c r="D60" s="196">
        <v>93.4</v>
      </c>
      <c r="E60" s="193">
        <f t="shared" si="0"/>
        <v>0.9354702825743979</v>
      </c>
      <c r="F60" s="58"/>
      <c r="G60" s="87"/>
      <c r="H60" s="82"/>
      <c r="I60" s="85"/>
      <c r="J60" s="46"/>
      <c r="K60" s="46"/>
      <c r="L60" s="46"/>
      <c r="M60" s="46"/>
      <c r="N60" s="46"/>
      <c r="O60" s="46"/>
    </row>
    <row r="61" spans="1:15" ht="15" customHeight="1">
      <c r="A61" s="46"/>
      <c r="B61" s="23">
        <f t="shared" si="1"/>
        <v>38</v>
      </c>
      <c r="C61" s="194">
        <v>2.85</v>
      </c>
      <c r="D61" s="196">
        <v>93.5</v>
      </c>
      <c r="E61" s="193">
        <f t="shared" si="0"/>
        <v>0.94630251792296072</v>
      </c>
      <c r="F61" s="58"/>
      <c r="G61" s="84"/>
      <c r="H61" s="82"/>
      <c r="I61" s="85"/>
      <c r="J61" s="46"/>
      <c r="K61" s="46"/>
      <c r="L61" s="46"/>
      <c r="M61" s="46"/>
      <c r="N61" s="46"/>
      <c r="O61" s="46"/>
    </row>
    <row r="62" spans="1:15" ht="15" customHeight="1">
      <c r="A62" s="46"/>
      <c r="B62" s="23">
        <f t="shared" si="1"/>
        <v>39</v>
      </c>
      <c r="C62" s="195">
        <v>2.9</v>
      </c>
      <c r="D62" s="198">
        <v>93.9</v>
      </c>
      <c r="E62" s="193">
        <f t="shared" si="0"/>
        <v>0.99090038160958194</v>
      </c>
      <c r="F62" s="58"/>
      <c r="G62" s="82"/>
      <c r="H62" s="82"/>
      <c r="I62" s="85"/>
      <c r="J62" s="46"/>
      <c r="K62" s="46"/>
      <c r="L62" s="46"/>
      <c r="M62" s="46"/>
      <c r="N62" s="46"/>
      <c r="O62" s="46"/>
    </row>
    <row r="63" spans="1:15" ht="15" customHeight="1">
      <c r="A63" s="46"/>
      <c r="B63" s="23">
        <f t="shared" si="1"/>
        <v>40</v>
      </c>
      <c r="C63" s="194">
        <v>2.95</v>
      </c>
      <c r="D63" s="196">
        <v>93.8</v>
      </c>
      <c r="E63" s="193">
        <f t="shared" si="0"/>
        <v>0.97955763873689206</v>
      </c>
      <c r="F63" s="58"/>
      <c r="G63" s="82"/>
      <c r="H63" s="82"/>
      <c r="I63" s="85"/>
      <c r="J63" s="46"/>
      <c r="K63" s="46"/>
      <c r="L63" s="46"/>
      <c r="M63" s="46"/>
      <c r="N63" s="46"/>
      <c r="O63" s="46"/>
    </row>
    <row r="64" spans="1:15" ht="15" customHeight="1">
      <c r="A64" s="46"/>
      <c r="B64" s="23">
        <f t="shared" si="1"/>
        <v>41</v>
      </c>
      <c r="C64" s="194">
        <v>3</v>
      </c>
      <c r="D64" s="196">
        <v>93.9</v>
      </c>
      <c r="E64" s="193">
        <f t="shared" si="0"/>
        <v>0.99090038160958194</v>
      </c>
      <c r="F64" s="58"/>
      <c r="G64" s="79"/>
      <c r="H64" s="82"/>
      <c r="I64" s="76"/>
      <c r="J64" s="46"/>
      <c r="K64" s="46"/>
      <c r="L64" s="46"/>
      <c r="M64" s="46"/>
      <c r="N64" s="46"/>
      <c r="O64" s="46"/>
    </row>
    <row r="65" spans="1:15" ht="15" customHeight="1">
      <c r="A65" s="46"/>
      <c r="B65" s="23">
        <f t="shared" si="1"/>
        <v>42</v>
      </c>
      <c r="C65" s="194">
        <v>3.05</v>
      </c>
      <c r="D65" s="196">
        <v>94.1</v>
      </c>
      <c r="E65" s="193">
        <f t="shared" si="0"/>
        <v>1.0139814165494101</v>
      </c>
      <c r="F65" s="58"/>
      <c r="G65" s="79"/>
      <c r="H65" s="82"/>
      <c r="I65" s="76"/>
      <c r="J65" s="46"/>
      <c r="K65" s="46"/>
      <c r="L65" s="46"/>
      <c r="M65" s="46"/>
      <c r="N65" s="46"/>
      <c r="O65" s="46"/>
    </row>
    <row r="66" spans="1:15" ht="15" customHeight="1">
      <c r="A66" s="46"/>
      <c r="B66" s="23">
        <f t="shared" si="1"/>
        <v>43</v>
      </c>
      <c r="C66" s="194">
        <v>3.1</v>
      </c>
      <c r="D66" s="196">
        <v>93.9</v>
      </c>
      <c r="E66" s="193">
        <f t="shared" si="0"/>
        <v>0.99090038160958194</v>
      </c>
      <c r="F66" s="58"/>
      <c r="G66" s="79"/>
      <c r="H66" s="82"/>
      <c r="I66" s="76" t="s">
        <v>190</v>
      </c>
      <c r="J66" s="46"/>
      <c r="K66" s="46"/>
      <c r="L66" s="46"/>
      <c r="M66" s="46"/>
      <c r="N66" s="46"/>
      <c r="O66" s="46"/>
    </row>
    <row r="67" spans="1:15" ht="15" customHeight="1">
      <c r="A67" s="46"/>
      <c r="B67" s="23">
        <f t="shared" si="1"/>
        <v>44</v>
      </c>
      <c r="C67" s="194">
        <v>3.15</v>
      </c>
      <c r="D67" s="196">
        <v>93.5</v>
      </c>
      <c r="E67" s="193">
        <f t="shared" si="0"/>
        <v>0.94630251792296072</v>
      </c>
      <c r="F67" s="58"/>
      <c r="G67" s="79"/>
      <c r="H67" s="82"/>
      <c r="I67" s="76"/>
      <c r="J67" s="46"/>
      <c r="K67" s="46"/>
      <c r="L67" s="46"/>
      <c r="M67" s="46"/>
      <c r="N67" s="46"/>
      <c r="O67" s="46"/>
    </row>
    <row r="68" spans="1:15" ht="15" customHeight="1">
      <c r="A68" s="46"/>
      <c r="B68" s="23">
        <f t="shared" si="1"/>
        <v>45</v>
      </c>
      <c r="C68" s="194">
        <v>3.2</v>
      </c>
      <c r="D68" s="196">
        <v>93.6</v>
      </c>
      <c r="E68" s="193">
        <f t="shared" si="0"/>
        <v>0.95726018464527651</v>
      </c>
      <c r="F68" s="58"/>
      <c r="G68" s="79"/>
      <c r="H68" s="82"/>
      <c r="I68" s="76"/>
      <c r="J68" s="46"/>
      <c r="K68" s="46"/>
      <c r="L68" s="46"/>
      <c r="M68" s="46"/>
      <c r="N68" s="46"/>
      <c r="O68" s="46"/>
    </row>
    <row r="69" spans="1:15" ht="15" customHeight="1">
      <c r="A69" s="46"/>
      <c r="B69" s="23">
        <f t="shared" si="1"/>
        <v>46</v>
      </c>
      <c r="C69" s="194">
        <v>3.25</v>
      </c>
      <c r="D69" s="196">
        <v>93.4</v>
      </c>
      <c r="E69" s="193">
        <f t="shared" si="0"/>
        <v>0.9354702825743979</v>
      </c>
      <c r="F69" s="58"/>
      <c r="G69" s="79"/>
      <c r="H69" s="82"/>
      <c r="I69" s="76"/>
      <c r="J69" s="46"/>
      <c r="K69" s="46"/>
      <c r="L69" s="46"/>
      <c r="M69" s="46"/>
      <c r="N69" s="46"/>
      <c r="O69" s="46"/>
    </row>
    <row r="70" spans="1:15" ht="15" customHeight="1">
      <c r="A70" s="46"/>
      <c r="B70" s="23">
        <f t="shared" si="1"/>
        <v>47</v>
      </c>
      <c r="C70" s="194">
        <v>3.3</v>
      </c>
      <c r="D70" s="196">
        <v>93.5</v>
      </c>
      <c r="E70" s="193">
        <f t="shared" si="0"/>
        <v>0.94630251792296072</v>
      </c>
      <c r="F70" s="58"/>
      <c r="G70" s="79"/>
      <c r="H70" s="82"/>
      <c r="I70" s="76"/>
      <c r="J70" s="46"/>
      <c r="K70" s="46"/>
      <c r="L70" s="46"/>
      <c r="M70" s="46"/>
      <c r="N70" s="46"/>
      <c r="O70" s="46"/>
    </row>
    <row r="71" spans="1:15" ht="15" customHeight="1">
      <c r="A71" s="46"/>
      <c r="B71" s="23">
        <f t="shared" si="1"/>
        <v>48</v>
      </c>
      <c r="C71" s="194">
        <v>3.35</v>
      </c>
      <c r="D71" s="196">
        <v>93.7</v>
      </c>
      <c r="E71" s="193">
        <f t="shared" si="0"/>
        <v>0.96834473516820019</v>
      </c>
      <c r="F71" s="58"/>
      <c r="G71" s="79"/>
      <c r="H71" s="82"/>
      <c r="I71" s="76"/>
      <c r="J71" s="46"/>
      <c r="K71" s="46"/>
      <c r="L71" s="46"/>
      <c r="M71" s="46"/>
      <c r="N71" s="46"/>
      <c r="O71" s="46"/>
    </row>
    <row r="72" spans="1:15" ht="15" customHeight="1">
      <c r="A72" s="46"/>
      <c r="B72" s="23">
        <f t="shared" si="1"/>
        <v>49</v>
      </c>
      <c r="C72" s="194">
        <v>3.4</v>
      </c>
      <c r="D72" s="196">
        <v>93.8</v>
      </c>
      <c r="E72" s="193">
        <f t="shared" si="0"/>
        <v>0.97955763873689206</v>
      </c>
      <c r="F72" s="58"/>
      <c r="G72" s="46"/>
      <c r="H72" s="46"/>
      <c r="I72" s="46"/>
      <c r="J72" s="46"/>
      <c r="K72" s="46"/>
      <c r="L72" s="46"/>
      <c r="M72" s="46"/>
      <c r="N72" s="46"/>
      <c r="O72" s="46"/>
    </row>
    <row r="73" spans="1:15" ht="15" customHeight="1">
      <c r="A73" s="46"/>
      <c r="B73" s="23">
        <f t="shared" si="1"/>
        <v>50</v>
      </c>
      <c r="C73" s="194">
        <v>3.45</v>
      </c>
      <c r="D73" s="196">
        <v>93.2</v>
      </c>
      <c r="E73" s="193">
        <f t="shared" si="0"/>
        <v>0.9141763792297517</v>
      </c>
      <c r="F73" s="58"/>
      <c r="G73" s="46"/>
      <c r="H73" s="46"/>
      <c r="I73" s="46"/>
      <c r="J73" s="46"/>
      <c r="K73" s="46"/>
      <c r="L73" s="46"/>
      <c r="M73" s="46"/>
      <c r="N73" s="46"/>
      <c r="O73" s="46"/>
    </row>
    <row r="74" spans="1:15" ht="15" customHeight="1">
      <c r="A74" s="46"/>
      <c r="B74" s="23">
        <f t="shared" si="1"/>
        <v>51</v>
      </c>
      <c r="C74" s="194">
        <v>3.5</v>
      </c>
      <c r="D74" s="196">
        <v>93.4</v>
      </c>
      <c r="E74" s="193">
        <f t="shared" si="0"/>
        <v>0.9354702825743979</v>
      </c>
      <c r="F74" s="58"/>
      <c r="G74" s="46"/>
      <c r="H74" s="46"/>
      <c r="I74" s="46"/>
      <c r="J74" s="46"/>
      <c r="K74" s="46"/>
      <c r="L74" s="46"/>
      <c r="M74" s="46"/>
      <c r="N74" s="46"/>
      <c r="O74" s="46"/>
    </row>
    <row r="75" spans="1:15" ht="15" customHeight="1">
      <c r="A75" s="46"/>
      <c r="B75" s="23">
        <f t="shared" si="1"/>
        <v>52</v>
      </c>
      <c r="C75" s="194">
        <v>3.55</v>
      </c>
      <c r="D75" s="196">
        <v>94</v>
      </c>
      <c r="E75" s="193">
        <f t="shared" si="0"/>
        <v>1.002374467254546</v>
      </c>
      <c r="F75" s="58"/>
      <c r="G75" s="46"/>
      <c r="H75" s="46"/>
      <c r="I75" s="46"/>
      <c r="J75" s="46"/>
      <c r="K75" s="46"/>
      <c r="L75" s="46"/>
      <c r="M75" s="46"/>
      <c r="N75" s="46"/>
      <c r="O75" s="46"/>
    </row>
    <row r="76" spans="1:15" ht="15" customHeight="1">
      <c r="A76" s="46"/>
      <c r="B76" s="23">
        <f t="shared" si="1"/>
        <v>53</v>
      </c>
      <c r="C76" s="194">
        <v>3.6</v>
      </c>
      <c r="D76" s="196">
        <v>93.6</v>
      </c>
      <c r="E76" s="193">
        <f t="shared" si="0"/>
        <v>0.95726018464527651</v>
      </c>
      <c r="F76" s="58"/>
      <c r="G76" s="46"/>
      <c r="H76" s="46"/>
      <c r="I76" s="46"/>
      <c r="J76" s="46"/>
      <c r="K76" s="46"/>
      <c r="L76" s="46"/>
      <c r="M76" s="46"/>
      <c r="N76" s="46"/>
      <c r="O76" s="46"/>
    </row>
    <row r="77" spans="1:15" ht="15" customHeight="1">
      <c r="A77" s="46"/>
      <c r="B77" s="23">
        <f t="shared" si="1"/>
        <v>54</v>
      </c>
      <c r="C77" s="194">
        <v>3.65</v>
      </c>
      <c r="D77" s="196">
        <v>94</v>
      </c>
      <c r="E77" s="193">
        <f t="shared" si="0"/>
        <v>1.002374467254546</v>
      </c>
      <c r="F77" s="58"/>
      <c r="G77" s="46"/>
      <c r="H77" s="46"/>
      <c r="I77" s="46"/>
      <c r="J77" s="46"/>
      <c r="K77" s="46"/>
      <c r="L77" s="46"/>
      <c r="M77" s="46"/>
      <c r="N77" s="46"/>
      <c r="O77" s="46"/>
    </row>
    <row r="78" spans="1:15" ht="15" customHeight="1">
      <c r="A78" s="46"/>
      <c r="B78" s="23">
        <f t="shared" si="1"/>
        <v>55</v>
      </c>
      <c r="C78" s="194">
        <v>3.7</v>
      </c>
      <c r="D78" s="196">
        <v>94</v>
      </c>
      <c r="E78" s="193">
        <f t="shared" si="0"/>
        <v>1.002374467254546</v>
      </c>
      <c r="F78" s="58"/>
      <c r="G78" s="46"/>
      <c r="H78" s="46"/>
      <c r="I78" s="46"/>
      <c r="J78" s="46"/>
      <c r="K78" s="46"/>
      <c r="L78" s="46"/>
      <c r="M78" s="46"/>
      <c r="N78" s="46"/>
      <c r="O78" s="46"/>
    </row>
    <row r="79" spans="1:15" ht="15" customHeight="1">
      <c r="A79" s="46"/>
      <c r="B79" s="23">
        <f t="shared" si="1"/>
        <v>56</v>
      </c>
      <c r="C79" s="194">
        <v>3.75</v>
      </c>
      <c r="D79" s="196">
        <v>93.2</v>
      </c>
      <c r="E79" s="193">
        <f t="shared" si="0"/>
        <v>0.9141763792297517</v>
      </c>
      <c r="F79" s="58"/>
      <c r="G79" s="46"/>
      <c r="H79" s="46"/>
      <c r="I79" s="46"/>
      <c r="J79" s="46"/>
      <c r="K79" s="46"/>
      <c r="L79" s="46"/>
      <c r="M79" s="46"/>
      <c r="N79" s="46"/>
      <c r="O79" s="46"/>
    </row>
    <row r="80" spans="1:15" ht="15" customHeight="1">
      <c r="A80" s="46"/>
      <c r="B80" s="23">
        <f t="shared" si="1"/>
        <v>57</v>
      </c>
      <c r="C80" s="194">
        <v>3.8</v>
      </c>
      <c r="D80" s="196">
        <v>92.9</v>
      </c>
      <c r="E80" s="193">
        <f t="shared" si="0"/>
        <v>0.8831408947066266</v>
      </c>
      <c r="F80" s="58"/>
      <c r="G80" s="46"/>
      <c r="H80" s="46"/>
      <c r="I80" s="46"/>
      <c r="J80" s="46"/>
      <c r="K80" s="46"/>
      <c r="L80" s="46"/>
      <c r="M80" s="46"/>
      <c r="N80" s="46"/>
      <c r="O80" s="46"/>
    </row>
    <row r="81" spans="1:15" ht="15" customHeight="1">
      <c r="A81" s="46"/>
      <c r="B81" s="23">
        <f t="shared" si="1"/>
        <v>58</v>
      </c>
      <c r="C81" s="194">
        <v>3.85</v>
      </c>
      <c r="D81" s="196">
        <v>92.9</v>
      </c>
      <c r="E81" s="193">
        <f t="shared" si="0"/>
        <v>0.8831408947066266</v>
      </c>
      <c r="F81" s="58"/>
      <c r="G81" s="46"/>
      <c r="H81" s="46"/>
      <c r="I81" s="46"/>
      <c r="J81" s="46"/>
      <c r="K81" s="46"/>
      <c r="L81" s="46"/>
      <c r="M81" s="46"/>
      <c r="N81" s="46"/>
      <c r="O81" s="46"/>
    </row>
    <row r="82" spans="1:15" ht="15" customHeight="1">
      <c r="A82" s="46"/>
      <c r="B82" s="23">
        <f t="shared" si="1"/>
        <v>59</v>
      </c>
      <c r="C82" s="194">
        <v>3.9</v>
      </c>
      <c r="D82" s="196">
        <v>93.3</v>
      </c>
      <c r="E82" s="193">
        <f t="shared" si="0"/>
        <v>0.92476204279852225</v>
      </c>
      <c r="F82" s="58"/>
      <c r="G82" s="46"/>
      <c r="H82" s="46"/>
      <c r="I82" s="46"/>
      <c r="J82" s="46"/>
      <c r="K82" s="46"/>
      <c r="L82" s="46"/>
      <c r="M82" s="46"/>
      <c r="N82" s="46"/>
      <c r="O82" s="46"/>
    </row>
    <row r="83" spans="1:15">
      <c r="A83" s="46"/>
      <c r="B83" s="23">
        <f t="shared" si="1"/>
        <v>60</v>
      </c>
      <c r="C83" s="194">
        <v>3.95</v>
      </c>
      <c r="D83" s="196">
        <v>93.3</v>
      </c>
      <c r="E83" s="193">
        <f t="shared" si="0"/>
        <v>0.92476204279852225</v>
      </c>
      <c r="F83" s="46"/>
      <c r="G83" s="46"/>
      <c r="H83" s="88"/>
      <c r="I83" s="11"/>
      <c r="J83" s="46"/>
      <c r="K83" s="46"/>
      <c r="L83" s="46"/>
      <c r="M83" s="46"/>
      <c r="N83" s="46"/>
      <c r="O83" s="46"/>
    </row>
    <row r="84" spans="1:15">
      <c r="A84" s="46"/>
      <c r="B84" s="23">
        <f t="shared" si="1"/>
        <v>61</v>
      </c>
      <c r="C84" s="194">
        <v>4</v>
      </c>
      <c r="D84" s="196">
        <v>92.5</v>
      </c>
      <c r="E84" s="193">
        <f t="shared" si="0"/>
        <v>0.84339300685716478</v>
      </c>
      <c r="F84" s="46"/>
      <c r="G84" s="46"/>
      <c r="H84" s="88"/>
      <c r="I84" s="11"/>
      <c r="J84" s="46"/>
      <c r="K84" s="46"/>
      <c r="L84" s="46"/>
      <c r="M84" s="46"/>
      <c r="N84" s="46"/>
      <c r="O84" s="46"/>
    </row>
    <row r="85" spans="1:15">
      <c r="A85" s="46"/>
      <c r="B85" s="178">
        <f t="shared" si="1"/>
        <v>62</v>
      </c>
      <c r="C85" s="194">
        <v>4.05</v>
      </c>
      <c r="D85" s="196">
        <v>91.8</v>
      </c>
      <c r="E85" s="193">
        <f t="shared" si="0"/>
        <v>0.77809028998856178</v>
      </c>
      <c r="F85" s="46"/>
      <c r="G85" s="46"/>
      <c r="H85" s="46"/>
      <c r="I85" s="46"/>
      <c r="J85" s="46"/>
      <c r="K85" s="46"/>
      <c r="L85" s="46"/>
      <c r="M85" s="46"/>
      <c r="N85" s="46"/>
      <c r="O85" s="46"/>
    </row>
    <row r="86" spans="1:15">
      <c r="A86" s="46"/>
      <c r="B86" s="178">
        <f t="shared" si="1"/>
        <v>63</v>
      </c>
      <c r="C86" s="194">
        <v>4.0999999999999996</v>
      </c>
      <c r="D86" s="196">
        <v>90.7</v>
      </c>
      <c r="E86" s="193">
        <f t="shared" si="0"/>
        <v>0.68553557309290147</v>
      </c>
      <c r="F86" s="46"/>
      <c r="G86" s="46"/>
      <c r="H86" s="46"/>
      <c r="I86" s="46"/>
      <c r="J86" s="46"/>
      <c r="K86" s="46"/>
      <c r="L86" s="46"/>
      <c r="M86" s="46"/>
      <c r="N86" s="46"/>
      <c r="O86" s="46"/>
    </row>
    <row r="87" spans="1:15">
      <c r="A87" s="46"/>
      <c r="B87" s="178">
        <f t="shared" si="1"/>
        <v>64</v>
      </c>
      <c r="C87" s="194">
        <v>4.1500000000000004</v>
      </c>
      <c r="D87" s="196">
        <v>89.2</v>
      </c>
      <c r="E87" s="193">
        <f t="shared" si="0"/>
        <v>0.57680630062532123</v>
      </c>
      <c r="F87" s="46"/>
      <c r="G87" s="46"/>
      <c r="H87" s="46"/>
      <c r="I87" s="46"/>
      <c r="J87" s="46"/>
      <c r="K87" s="46"/>
      <c r="L87" s="46"/>
      <c r="M87" s="46"/>
      <c r="N87" s="46"/>
      <c r="O87" s="46"/>
    </row>
    <row r="88" spans="1:15">
      <c r="A88" s="46"/>
      <c r="B88" s="178">
        <f t="shared" si="1"/>
        <v>65</v>
      </c>
      <c r="C88" s="194">
        <v>4.2</v>
      </c>
      <c r="D88" s="196">
        <v>87.2</v>
      </c>
      <c r="E88" s="193">
        <f t="shared" si="0"/>
        <v>0.45817353055355509</v>
      </c>
      <c r="F88" s="46"/>
      <c r="G88" s="46"/>
      <c r="H88" s="46"/>
      <c r="I88" s="46"/>
      <c r="J88" s="46"/>
      <c r="K88" s="46"/>
      <c r="L88" s="46"/>
      <c r="M88" s="46"/>
      <c r="N88" s="46"/>
      <c r="O88" s="46"/>
    </row>
    <row r="89" spans="1:15">
      <c r="A89" s="46"/>
      <c r="B89" s="178">
        <f t="shared" si="1"/>
        <v>66</v>
      </c>
      <c r="C89" s="194">
        <v>4.25</v>
      </c>
      <c r="D89" s="196">
        <v>86.2</v>
      </c>
      <c r="E89" s="193">
        <f t="shared" ref="E89:E94" si="2">0.00002*(10^(D89/20))</f>
        <v>0.40834758893390649</v>
      </c>
      <c r="F89" s="46"/>
      <c r="G89" s="46"/>
      <c r="H89" s="46"/>
      <c r="I89" s="46"/>
      <c r="J89" s="46"/>
      <c r="K89" s="46"/>
      <c r="L89" s="46"/>
      <c r="M89" s="46"/>
      <c r="N89" s="46"/>
      <c r="O89" s="46"/>
    </row>
    <row r="90" spans="1:15">
      <c r="A90" s="46"/>
      <c r="B90" s="178">
        <f t="shared" ref="B90:B94" si="3">B89+1</f>
        <v>67</v>
      </c>
      <c r="C90" s="194">
        <v>4.3</v>
      </c>
      <c r="D90" s="196">
        <v>84.7</v>
      </c>
      <c r="E90" s="193">
        <f t="shared" si="2"/>
        <v>0.34358167743151841</v>
      </c>
      <c r="F90" s="46"/>
      <c r="G90" s="46"/>
      <c r="H90" s="46"/>
      <c r="I90" s="46"/>
      <c r="J90" s="46"/>
      <c r="K90" s="46"/>
      <c r="L90" s="46"/>
      <c r="M90" s="46"/>
      <c r="N90" s="46"/>
      <c r="O90" s="46"/>
    </row>
    <row r="91" spans="1:15">
      <c r="A91" s="46"/>
      <c r="B91" s="178">
        <f t="shared" si="3"/>
        <v>68</v>
      </c>
      <c r="C91" s="194">
        <v>4.3499999999999996</v>
      </c>
      <c r="D91" s="196">
        <v>83.2</v>
      </c>
      <c r="E91" s="193">
        <f t="shared" si="2"/>
        <v>0.28908795414918587</v>
      </c>
      <c r="F91" s="46"/>
      <c r="G91" s="46"/>
      <c r="H91" s="46"/>
      <c r="I91" s="46"/>
      <c r="J91" s="46"/>
      <c r="K91" s="46"/>
      <c r="L91" s="46"/>
      <c r="M91" s="46"/>
      <c r="N91" s="46"/>
      <c r="O91" s="46"/>
    </row>
    <row r="92" spans="1:15">
      <c r="A92" s="46"/>
      <c r="B92" s="178">
        <f t="shared" si="3"/>
        <v>69</v>
      </c>
      <c r="C92" s="194">
        <v>4.4000000000000004</v>
      </c>
      <c r="D92" s="196">
        <v>82.2</v>
      </c>
      <c r="E92" s="193">
        <f t="shared" si="2"/>
        <v>0.25764991033862722</v>
      </c>
      <c r="F92" s="46"/>
      <c r="G92" s="46"/>
      <c r="H92" s="46"/>
      <c r="I92" s="46"/>
      <c r="J92" s="46"/>
      <c r="K92" s="46"/>
      <c r="L92" s="46"/>
      <c r="M92" s="46"/>
      <c r="N92" s="46"/>
      <c r="O92" s="46"/>
    </row>
    <row r="93" spans="1:15">
      <c r="A93" s="46"/>
      <c r="B93" s="178">
        <f t="shared" si="3"/>
        <v>70</v>
      </c>
      <c r="C93" s="194">
        <v>4.45</v>
      </c>
      <c r="D93" s="196">
        <v>81.2</v>
      </c>
      <c r="E93" s="193">
        <f t="shared" si="2"/>
        <v>0.22963072429937706</v>
      </c>
      <c r="F93" s="46"/>
      <c r="G93" s="46"/>
      <c r="H93" s="46"/>
      <c r="I93" s="46"/>
      <c r="J93" s="46"/>
      <c r="K93" s="46"/>
      <c r="L93" s="46"/>
      <c r="M93" s="46"/>
      <c r="N93" s="46"/>
      <c r="O93" s="46"/>
    </row>
    <row r="94" spans="1:15">
      <c r="A94" s="46"/>
      <c r="B94" s="178">
        <f t="shared" si="3"/>
        <v>71</v>
      </c>
      <c r="C94" s="194">
        <v>4.5</v>
      </c>
      <c r="D94" s="196">
        <v>80.2</v>
      </c>
      <c r="E94" s="193">
        <f t="shared" si="2"/>
        <v>0.204658598456151</v>
      </c>
      <c r="F94" s="46"/>
      <c r="G94" s="46"/>
      <c r="H94" s="46"/>
      <c r="I94" s="46"/>
      <c r="J94" s="46"/>
      <c r="K94" s="46"/>
      <c r="L94" s="46"/>
      <c r="M94" s="46"/>
      <c r="N94" s="46"/>
      <c r="O94" s="46"/>
    </row>
    <row r="95" spans="1:15">
      <c r="A95" s="46"/>
      <c r="B95" s="46"/>
      <c r="C95" s="46"/>
      <c r="D95" s="46"/>
      <c r="E95" s="46"/>
      <c r="F95" s="46"/>
      <c r="G95" s="46"/>
      <c r="H95" s="46"/>
      <c r="I95" s="46"/>
      <c r="J95" s="46"/>
      <c r="K95" s="46"/>
      <c r="L95" s="46"/>
      <c r="M95" s="46"/>
      <c r="N95" s="46"/>
      <c r="O95" s="46"/>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195"/>
  <sheetViews>
    <sheetView topLeftCell="D63" zoomScale="90" zoomScaleNormal="90" workbookViewId="0">
      <selection activeCell="E80" sqref="E80"/>
    </sheetView>
  </sheetViews>
  <sheetFormatPr defaultColWidth="9.1796875" defaultRowHeight="14.5"/>
  <cols>
    <col min="1" max="1" width="9.1796875" style="40"/>
    <col min="2" max="2" width="12.7265625" style="40" customWidth="1"/>
    <col min="3" max="3" width="10.453125" style="40" customWidth="1"/>
    <col min="4" max="4" width="11.7265625" style="40" customWidth="1"/>
    <col min="5" max="5" width="11" style="40" customWidth="1"/>
    <col min="6" max="6" width="14.1796875" style="40" customWidth="1"/>
    <col min="7" max="7" width="12.7265625" style="40" customWidth="1"/>
    <col min="8" max="8" width="9.1796875" style="40" customWidth="1"/>
    <col min="9" max="9" width="10.90625" style="40" customWidth="1"/>
    <col min="10" max="10" width="11" style="40" customWidth="1"/>
    <col min="11" max="11" width="14.54296875" style="40" customWidth="1"/>
    <col min="12" max="12" width="12.7265625" style="40" customWidth="1"/>
    <col min="13" max="13" width="10.453125" style="40" customWidth="1"/>
    <col min="14" max="14" width="13" style="40" customWidth="1"/>
    <col min="15" max="15" width="11" style="40" customWidth="1"/>
    <col min="16" max="16" width="14.1796875" style="40" customWidth="1"/>
    <col min="17" max="17" width="12.7265625" style="40" customWidth="1"/>
    <col min="18" max="18" width="10.453125" style="40" customWidth="1"/>
    <col min="19" max="19" width="11.7265625" style="40" customWidth="1"/>
    <col min="20" max="20" width="11" style="40" customWidth="1"/>
    <col min="21" max="21" width="14.1796875" style="40" customWidth="1"/>
    <col min="22" max="16384" width="9.1796875" style="40"/>
  </cols>
  <sheetData>
    <row r="1" spans="1:22">
      <c r="A1" s="46"/>
      <c r="B1" s="46"/>
      <c r="C1" s="46"/>
      <c r="D1" s="46"/>
      <c r="E1" s="46"/>
      <c r="F1" s="46"/>
      <c r="G1" s="46"/>
      <c r="H1" s="46"/>
      <c r="I1" s="46"/>
      <c r="J1" s="46"/>
      <c r="K1" s="46"/>
      <c r="L1" s="46"/>
      <c r="M1" s="46"/>
      <c r="N1" s="46"/>
      <c r="O1" s="46"/>
      <c r="P1" s="46"/>
      <c r="Q1" s="46"/>
      <c r="R1" s="46"/>
      <c r="S1" s="46"/>
      <c r="T1" s="46"/>
      <c r="U1" s="46"/>
      <c r="V1" s="46"/>
    </row>
    <row r="2" spans="1:22">
      <c r="A2" s="46"/>
      <c r="B2" s="7"/>
      <c r="C2" s="8"/>
      <c r="D2" s="8"/>
      <c r="E2" s="8"/>
      <c r="F2" s="8"/>
      <c r="G2" s="8"/>
      <c r="H2" s="8"/>
      <c r="I2" s="8"/>
      <c r="J2" s="8"/>
      <c r="K2" s="8"/>
      <c r="L2" s="8"/>
      <c r="M2" s="8"/>
      <c r="N2" s="8"/>
      <c r="O2" s="8"/>
      <c r="P2" s="8"/>
      <c r="Q2" s="8"/>
      <c r="R2" s="8"/>
      <c r="S2" s="8"/>
      <c r="T2" s="8"/>
      <c r="U2" s="9"/>
      <c r="V2" s="46"/>
    </row>
    <row r="3" spans="1:22">
      <c r="A3" s="46"/>
      <c r="B3" s="10"/>
      <c r="C3" s="11"/>
      <c r="D3" s="11"/>
      <c r="E3" s="11"/>
      <c r="F3" s="11"/>
      <c r="G3" s="11"/>
      <c r="H3" s="11" t="s">
        <v>2</v>
      </c>
      <c r="I3" s="11"/>
      <c r="J3" s="11"/>
      <c r="K3" s="11"/>
      <c r="L3" s="11"/>
      <c r="M3" s="11"/>
      <c r="N3" s="11"/>
      <c r="O3" s="11"/>
      <c r="P3" s="11"/>
      <c r="Q3" s="11"/>
      <c r="R3" s="11"/>
      <c r="S3" s="11"/>
      <c r="T3" s="11"/>
      <c r="U3" s="12"/>
      <c r="V3" s="46"/>
    </row>
    <row r="4" spans="1:22">
      <c r="A4" s="46"/>
      <c r="B4" s="10"/>
      <c r="C4" s="11"/>
      <c r="D4" s="11"/>
      <c r="E4" s="11"/>
      <c r="F4" s="11"/>
      <c r="G4" s="11"/>
      <c r="H4" s="11" t="s">
        <v>4</v>
      </c>
      <c r="I4" s="11"/>
      <c r="J4" s="11"/>
      <c r="K4" s="11"/>
      <c r="L4" s="11"/>
      <c r="M4" s="11"/>
      <c r="N4" s="11"/>
      <c r="O4" s="11"/>
      <c r="P4" s="11"/>
      <c r="Q4" s="11"/>
      <c r="R4" s="11"/>
      <c r="S4" s="11"/>
      <c r="T4" s="11"/>
      <c r="U4" s="12"/>
      <c r="V4" s="46"/>
    </row>
    <row r="5" spans="1:22">
      <c r="A5" s="46"/>
      <c r="B5" s="10"/>
      <c r="C5" s="11"/>
      <c r="D5" s="11"/>
      <c r="E5" s="11"/>
      <c r="F5" s="11"/>
      <c r="G5" s="11"/>
      <c r="H5" s="11"/>
      <c r="I5" s="11"/>
      <c r="J5" s="11"/>
      <c r="K5" s="11"/>
      <c r="L5" s="11"/>
      <c r="M5" s="11"/>
      <c r="N5" s="11"/>
      <c r="O5" s="11"/>
      <c r="P5" s="11"/>
      <c r="Q5" s="11"/>
      <c r="R5" s="11"/>
      <c r="S5" s="11"/>
      <c r="T5" s="11"/>
      <c r="U5" s="12"/>
      <c r="V5" s="46"/>
    </row>
    <row r="6" spans="1:22">
      <c r="A6" s="46"/>
      <c r="B6" s="10"/>
      <c r="C6" s="11"/>
      <c r="D6" s="11"/>
      <c r="E6" s="11"/>
      <c r="F6" s="11"/>
      <c r="G6" s="11"/>
      <c r="H6" s="11"/>
      <c r="I6" s="11"/>
      <c r="J6" s="11"/>
      <c r="K6" s="11"/>
      <c r="L6" s="11"/>
      <c r="M6" s="11"/>
      <c r="N6" s="11"/>
      <c r="O6" s="11"/>
      <c r="P6" s="11"/>
      <c r="Q6" s="11"/>
      <c r="R6" s="11"/>
      <c r="S6" s="11"/>
      <c r="T6" s="11"/>
      <c r="U6" s="12"/>
      <c r="V6" s="46"/>
    </row>
    <row r="7" spans="1:22">
      <c r="A7" s="46"/>
      <c r="B7" s="10"/>
      <c r="C7" s="13" t="s">
        <v>0</v>
      </c>
      <c r="D7" s="11"/>
      <c r="E7" s="11"/>
      <c r="F7" s="11"/>
      <c r="G7" s="46"/>
      <c r="H7" s="46"/>
      <c r="I7" s="733" t="s">
        <v>559</v>
      </c>
      <c r="J7" s="152"/>
      <c r="K7" s="153" t="s">
        <v>897</v>
      </c>
      <c r="L7" s="11"/>
      <c r="M7" s="11"/>
      <c r="N7" s="11"/>
      <c r="O7" s="11"/>
      <c r="P7" s="11"/>
      <c r="Q7" s="14" t="s">
        <v>5</v>
      </c>
      <c r="R7" s="15">
        <f>'Program Overview'!K6</f>
        <v>7</v>
      </c>
      <c r="S7" s="16">
        <f>'Program Overview'!M6</f>
        <v>43752</v>
      </c>
      <c r="T7" s="11"/>
      <c r="U7" s="12"/>
      <c r="V7" s="46"/>
    </row>
    <row r="8" spans="1:22">
      <c r="A8" s="46"/>
      <c r="B8" s="10"/>
      <c r="C8" s="13" t="s">
        <v>1</v>
      </c>
      <c r="D8" s="11"/>
      <c r="E8" s="11"/>
      <c r="F8" s="11"/>
      <c r="G8" s="11"/>
      <c r="H8" s="11"/>
      <c r="I8" s="11"/>
      <c r="J8" s="11"/>
      <c r="K8" s="11"/>
      <c r="L8" s="11"/>
      <c r="M8" s="11"/>
      <c r="N8" s="11"/>
      <c r="O8" s="11"/>
      <c r="P8" s="11"/>
      <c r="Q8" s="11"/>
      <c r="R8" s="11"/>
      <c r="S8" s="11"/>
      <c r="T8" s="11"/>
      <c r="U8" s="12"/>
      <c r="V8" s="46"/>
    </row>
    <row r="9" spans="1:22">
      <c r="A9" s="46"/>
      <c r="B9" s="17"/>
      <c r="C9" s="18"/>
      <c r="D9" s="18"/>
      <c r="E9" s="18"/>
      <c r="F9" s="18"/>
      <c r="G9" s="18"/>
      <c r="H9" s="18"/>
      <c r="I9" s="18"/>
      <c r="J9" s="18"/>
      <c r="K9" s="18"/>
      <c r="L9" s="18"/>
      <c r="M9" s="18"/>
      <c r="N9" s="18"/>
      <c r="O9" s="18"/>
      <c r="P9" s="18"/>
      <c r="Q9" s="18"/>
      <c r="R9" s="18"/>
      <c r="S9" s="18"/>
      <c r="T9" s="18"/>
      <c r="U9" s="19"/>
      <c r="V9" s="46"/>
    </row>
    <row r="10" spans="1:22">
      <c r="A10" s="46"/>
      <c r="B10" s="207" t="s">
        <v>197</v>
      </c>
      <c r="C10" s="208"/>
      <c r="D10" s="721"/>
      <c r="E10" s="719">
        <f>'Passby Data Set 4'!E9</f>
        <v>4</v>
      </c>
      <c r="F10" s="720"/>
      <c r="G10" s="583" t="s">
        <v>817</v>
      </c>
      <c r="H10" s="105"/>
      <c r="I10" s="105"/>
      <c r="J10" s="582"/>
      <c r="K10" s="207"/>
      <c r="L10" s="59"/>
      <c r="M10" s="59"/>
      <c r="N10" s="59" t="s">
        <v>203</v>
      </c>
      <c r="O10" s="59"/>
      <c r="P10" s="59"/>
      <c r="Q10" s="59"/>
      <c r="R10" s="59"/>
      <c r="S10" s="59"/>
      <c r="T10" s="59"/>
      <c r="U10" s="227"/>
      <c r="V10" s="46"/>
    </row>
    <row r="11" spans="1:22">
      <c r="A11" s="46"/>
      <c r="B11" s="209" t="s">
        <v>9</v>
      </c>
      <c r="C11" s="210"/>
      <c r="D11" s="725" t="str">
        <f>'Passby Data Set 4'!E10</f>
        <v>CRH3 Series (based on Siemens)</v>
      </c>
      <c r="E11" s="95"/>
      <c r="F11" s="722"/>
      <c r="G11" s="581"/>
      <c r="H11" s="105"/>
      <c r="I11" s="105"/>
      <c r="J11" s="582"/>
      <c r="K11" s="581"/>
      <c r="L11" s="105"/>
      <c r="M11" s="105"/>
      <c r="N11" s="105"/>
      <c r="O11" s="105"/>
      <c r="P11" s="105"/>
      <c r="Q11" s="105"/>
      <c r="R11" s="105"/>
      <c r="S11" s="105"/>
      <c r="T11" s="105"/>
      <c r="U11" s="582"/>
      <c r="V11" s="46"/>
    </row>
    <row r="12" spans="1:22" ht="15">
      <c r="A12" s="46"/>
      <c r="B12" s="106" t="s">
        <v>800</v>
      </c>
      <c r="C12" s="8"/>
      <c r="D12" s="8"/>
      <c r="E12" s="8"/>
      <c r="F12" s="8"/>
      <c r="G12" s="8"/>
      <c r="H12" s="8"/>
      <c r="I12" s="8"/>
      <c r="J12" s="8"/>
      <c r="K12" s="127" t="s">
        <v>287</v>
      </c>
      <c r="L12" s="128"/>
      <c r="M12" s="128"/>
      <c r="N12" s="128"/>
      <c r="O12" s="128"/>
      <c r="P12" s="8"/>
      <c r="Q12" s="8"/>
      <c r="R12" s="8"/>
      <c r="S12" s="8"/>
      <c r="T12" s="8"/>
      <c r="U12" s="9"/>
      <c r="V12" s="46"/>
    </row>
    <row r="13" spans="1:22" ht="15">
      <c r="A13" s="46"/>
      <c r="B13" s="10" t="s">
        <v>342</v>
      </c>
      <c r="C13" s="11"/>
      <c r="D13" s="15">
        <f>'Passby Data Set 3'!H22</f>
        <v>271</v>
      </c>
      <c r="E13" s="15" t="s">
        <v>242</v>
      </c>
      <c r="F13" s="107">
        <f>D13*(1/3600)*(1000/1)</f>
        <v>75.277777777777771</v>
      </c>
      <c r="G13" s="15" t="s">
        <v>243</v>
      </c>
      <c r="H13" s="11"/>
      <c r="I13" s="11"/>
      <c r="J13" s="11"/>
      <c r="K13" s="129" t="s">
        <v>288</v>
      </c>
      <c r="L13" s="125"/>
      <c r="M13" s="125"/>
      <c r="N13" s="125"/>
      <c r="O13" s="125"/>
      <c r="P13" s="11"/>
      <c r="Q13" s="11"/>
      <c r="R13" s="11"/>
      <c r="S13" s="11"/>
      <c r="T13" s="11"/>
      <c r="U13" s="12"/>
      <c r="V13" s="46"/>
    </row>
    <row r="14" spans="1:22">
      <c r="A14" s="46"/>
      <c r="B14" s="10" t="s">
        <v>244</v>
      </c>
      <c r="C14" s="11"/>
      <c r="D14" s="15">
        <f>'Passby Data Set 3'!H21</f>
        <v>200</v>
      </c>
      <c r="E14" s="15" t="s">
        <v>15</v>
      </c>
      <c r="F14" s="11" t="s">
        <v>381</v>
      </c>
      <c r="G14" s="11"/>
      <c r="H14" s="11"/>
      <c r="I14" s="11"/>
      <c r="J14" s="11"/>
      <c r="K14" s="154" t="s">
        <v>289</v>
      </c>
      <c r="L14" s="125"/>
      <c r="M14" s="125"/>
      <c r="N14" s="125"/>
      <c r="O14" s="125"/>
      <c r="P14" s="11"/>
      <c r="Q14" s="11"/>
      <c r="R14" s="11"/>
      <c r="S14" s="11"/>
      <c r="T14" s="11"/>
      <c r="U14" s="12"/>
      <c r="V14" s="46"/>
    </row>
    <row r="15" spans="1:22" ht="16.5">
      <c r="A15" s="46"/>
      <c r="B15" s="10" t="s">
        <v>818</v>
      </c>
      <c r="C15" s="11"/>
      <c r="D15" s="15">
        <f>D14/F13</f>
        <v>2.6568265682656831</v>
      </c>
      <c r="E15" s="15" t="s">
        <v>237</v>
      </c>
      <c r="F15" s="76" t="s">
        <v>248</v>
      </c>
      <c r="G15" s="11"/>
      <c r="H15" s="11"/>
      <c r="I15" s="11"/>
      <c r="J15" s="11"/>
      <c r="K15" s="10" t="s">
        <v>290</v>
      </c>
      <c r="L15" s="125"/>
      <c r="M15" s="125"/>
      <c r="N15" s="125"/>
      <c r="O15" s="125"/>
      <c r="P15" s="11"/>
      <c r="Q15" s="11"/>
      <c r="R15" s="11"/>
      <c r="S15" s="11"/>
      <c r="T15" s="11"/>
      <c r="U15" s="12"/>
      <c r="V15" s="46"/>
    </row>
    <row r="16" spans="1:22"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ht="16.5">
      <c r="A17" s="46"/>
      <c r="B17" s="10" t="s">
        <v>298</v>
      </c>
      <c r="C17" s="11"/>
      <c r="D17" s="107">
        <f>'Passby Data Set 4'!C91-'Passby Data Set 4'!C27</f>
        <v>3.1999999999999997</v>
      </c>
      <c r="E17" s="15" t="s">
        <v>237</v>
      </c>
      <c r="F17" s="76" t="s">
        <v>250</v>
      </c>
      <c r="G17" s="11"/>
      <c r="H17" s="11"/>
      <c r="I17" s="11"/>
      <c r="J17" s="11"/>
      <c r="K17" s="116" t="s">
        <v>299</v>
      </c>
      <c r="L17" s="125"/>
      <c r="M17" s="125"/>
      <c r="N17" s="125"/>
      <c r="O17" s="125"/>
      <c r="P17" s="11"/>
      <c r="Q17" s="11"/>
      <c r="R17" s="11"/>
      <c r="S17" s="11"/>
      <c r="T17" s="11"/>
      <c r="U17" s="12"/>
      <c r="V17" s="46"/>
    </row>
    <row r="18" spans="1:22"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ht="16.5">
      <c r="A20" s="46"/>
      <c r="B20" s="10"/>
      <c r="C20" s="11"/>
      <c r="D20" s="15"/>
      <c r="E20" s="15"/>
      <c r="F20" s="11" t="s">
        <v>253</v>
      </c>
      <c r="G20" s="11"/>
      <c r="H20" s="11"/>
      <c r="I20" s="11"/>
      <c r="J20" s="11"/>
      <c r="K20" s="186" t="s">
        <v>369</v>
      </c>
      <c r="L20" s="11"/>
      <c r="M20" s="11"/>
      <c r="N20" s="11"/>
      <c r="O20" s="11"/>
      <c r="P20" s="11"/>
      <c r="Q20" s="11"/>
      <c r="R20" s="11"/>
      <c r="S20" s="11"/>
      <c r="T20" s="11"/>
      <c r="U20" s="12"/>
      <c r="V20" s="46"/>
    </row>
    <row r="21" spans="1:22"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c r="A22" s="46"/>
      <c r="B22" s="11"/>
      <c r="C22" s="11"/>
      <c r="D22" s="15"/>
      <c r="E22" s="15"/>
      <c r="F22" s="11"/>
      <c r="G22" s="11"/>
      <c r="H22" s="11"/>
      <c r="I22" s="11"/>
      <c r="J22" s="11"/>
      <c r="K22" s="46"/>
      <c r="L22" s="46"/>
      <c r="M22" s="46"/>
      <c r="N22" s="46"/>
      <c r="O22" s="46"/>
      <c r="P22" s="46"/>
      <c r="Q22" s="46"/>
      <c r="R22" s="46"/>
      <c r="S22" s="46"/>
      <c r="T22" s="46"/>
      <c r="U22" s="46"/>
      <c r="V22" s="46"/>
    </row>
    <row r="23" spans="1:22" ht="16.5">
      <c r="A23" s="46"/>
      <c r="B23" s="106" t="s">
        <v>206</v>
      </c>
      <c r="C23" s="8"/>
      <c r="D23" s="8"/>
      <c r="E23" s="8"/>
      <c r="F23" s="8"/>
      <c r="G23" s="8"/>
      <c r="H23" s="8"/>
      <c r="I23" s="8"/>
      <c r="J23" s="8"/>
      <c r="K23" s="8"/>
      <c r="L23" s="8"/>
      <c r="M23" s="8"/>
      <c r="N23" s="8"/>
      <c r="O23" s="8"/>
      <c r="P23" s="8"/>
      <c r="Q23" s="8"/>
      <c r="R23" s="8"/>
      <c r="S23" s="8"/>
      <c r="T23" s="8"/>
      <c r="U23" s="9"/>
      <c r="V23" s="46"/>
    </row>
    <row r="24" spans="1:22" ht="16.5">
      <c r="A24" s="46"/>
      <c r="B24" s="10" t="s">
        <v>223</v>
      </c>
      <c r="C24" s="11"/>
      <c r="D24" s="11"/>
      <c r="E24" s="11"/>
      <c r="F24" s="11"/>
      <c r="G24" s="11"/>
      <c r="H24" s="11"/>
      <c r="I24" s="11"/>
      <c r="J24" s="11" t="s">
        <v>383</v>
      </c>
      <c r="K24" s="11"/>
      <c r="L24" s="11"/>
      <c r="M24" s="11"/>
      <c r="N24" s="11"/>
      <c r="O24" s="11"/>
      <c r="P24" s="11"/>
      <c r="Q24" s="11"/>
      <c r="R24" s="11"/>
      <c r="S24" s="11"/>
      <c r="T24" s="11"/>
      <c r="U24" s="12"/>
      <c r="V24" s="46"/>
    </row>
    <row r="25" spans="1:22">
      <c r="A25" s="46"/>
      <c r="B25" s="10" t="s">
        <v>811</v>
      </c>
      <c r="C25" s="11"/>
      <c r="D25" s="11"/>
      <c r="E25" s="11"/>
      <c r="F25" s="11"/>
      <c r="G25" s="11"/>
      <c r="H25" s="11"/>
      <c r="I25" s="11"/>
      <c r="J25" s="11"/>
      <c r="K25" s="11"/>
      <c r="L25" s="11"/>
      <c r="M25" s="11"/>
      <c r="N25" s="11"/>
      <c r="O25" s="11"/>
      <c r="P25" s="11"/>
      <c r="Q25" s="11"/>
      <c r="R25" s="11"/>
      <c r="S25" s="11"/>
      <c r="T25" s="11"/>
      <c r="U25" s="12"/>
      <c r="V25" s="46"/>
    </row>
    <row r="26" spans="1:22">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215</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ht="16.5">
      <c r="A31" s="46"/>
      <c r="B31" s="10" t="s">
        <v>222</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ht="16.5">
      <c r="A33" s="46"/>
      <c r="B33" s="10"/>
      <c r="C33" s="11"/>
      <c r="D33" s="11"/>
      <c r="E33" s="11"/>
      <c r="F33" s="11"/>
      <c r="G33" s="11"/>
      <c r="H33" s="11"/>
      <c r="I33" s="11"/>
      <c r="J33" s="15" t="s">
        <v>228</v>
      </c>
      <c r="K33" s="11" t="s">
        <v>229</v>
      </c>
      <c r="L33" s="11"/>
      <c r="M33" s="11"/>
      <c r="N33" s="11"/>
      <c r="O33" s="11"/>
      <c r="P33" s="11"/>
      <c r="Q33" s="11"/>
      <c r="R33" s="11"/>
      <c r="S33" s="11"/>
      <c r="T33" s="11"/>
      <c r="U33" s="12"/>
      <c r="V33" s="46"/>
    </row>
    <row r="34" spans="1:22">
      <c r="A34" s="46"/>
      <c r="B34" s="10"/>
      <c r="C34" s="11"/>
      <c r="D34" s="11"/>
      <c r="E34" s="11"/>
      <c r="F34" s="11"/>
      <c r="G34" s="11" t="s">
        <v>728</v>
      </c>
      <c r="H34" s="11"/>
      <c r="I34" s="11"/>
      <c r="J34" s="11"/>
      <c r="K34" s="11"/>
      <c r="L34" s="11"/>
      <c r="M34" s="11"/>
      <c r="N34" s="11"/>
      <c r="O34" s="11"/>
      <c r="P34" s="11"/>
      <c r="Q34" s="11"/>
      <c r="R34" s="11"/>
      <c r="S34" s="11"/>
      <c r="T34" s="11"/>
      <c r="U34" s="12"/>
      <c r="V34" s="46"/>
    </row>
    <row r="35" spans="1:22">
      <c r="A35" s="46"/>
      <c r="B35" s="10"/>
      <c r="C35" s="11"/>
      <c r="D35" s="11"/>
      <c r="E35" s="11"/>
      <c r="F35" s="11"/>
      <c r="G35" s="11" t="s">
        <v>729</v>
      </c>
      <c r="H35" s="11"/>
      <c r="I35" s="11"/>
      <c r="J35" s="11"/>
      <c r="K35" s="11"/>
      <c r="L35" s="11"/>
      <c r="M35" s="11"/>
      <c r="N35" s="11"/>
      <c r="O35" s="11"/>
      <c r="P35" s="11"/>
      <c r="Q35" s="11"/>
      <c r="R35" s="11"/>
      <c r="S35" s="11"/>
      <c r="T35" s="11"/>
      <c r="U35" s="12"/>
      <c r="V35" s="46"/>
    </row>
    <row r="36" spans="1:22">
      <c r="A36" s="46"/>
      <c r="B36" s="17"/>
      <c r="C36" s="108"/>
      <c r="D36" s="18"/>
      <c r="E36" s="18"/>
      <c r="F36" s="18"/>
      <c r="G36" s="18"/>
      <c r="H36" s="18"/>
      <c r="I36" s="18"/>
      <c r="J36" s="18"/>
      <c r="K36" s="18"/>
      <c r="L36" s="18"/>
      <c r="M36" s="18"/>
      <c r="N36" s="18"/>
      <c r="O36" s="18"/>
      <c r="P36" s="18"/>
      <c r="Q36" s="18"/>
      <c r="R36" s="18"/>
      <c r="S36" s="18"/>
      <c r="T36" s="18"/>
      <c r="U36" s="19"/>
      <c r="V36" s="46"/>
    </row>
    <row r="37" spans="1:22" ht="33.75" customHeight="1">
      <c r="A37" s="46"/>
      <c r="B37" s="163" t="s">
        <v>192</v>
      </c>
      <c r="C37" s="101" t="s">
        <v>27</v>
      </c>
      <c r="D37" s="165" t="s">
        <v>230</v>
      </c>
      <c r="E37" s="163" t="s">
        <v>231</v>
      </c>
      <c r="F37" s="165" t="s">
        <v>233</v>
      </c>
      <c r="G37" s="163" t="s">
        <v>192</v>
      </c>
      <c r="H37" s="101" t="s">
        <v>27</v>
      </c>
      <c r="I37" s="165" t="s">
        <v>230</v>
      </c>
      <c r="J37" s="163" t="s">
        <v>231</v>
      </c>
      <c r="K37" s="165" t="s">
        <v>233</v>
      </c>
      <c r="L37" s="163" t="s">
        <v>192</v>
      </c>
      <c r="M37" s="101" t="s">
        <v>27</v>
      </c>
      <c r="N37" s="165" t="s">
        <v>230</v>
      </c>
      <c r="O37" s="163" t="s">
        <v>231</v>
      </c>
      <c r="P37" s="165" t="s">
        <v>233</v>
      </c>
      <c r="Q37" s="163" t="s">
        <v>192</v>
      </c>
      <c r="R37" s="101" t="s">
        <v>27</v>
      </c>
      <c r="S37" s="165" t="s">
        <v>230</v>
      </c>
      <c r="T37" s="163" t="s">
        <v>231</v>
      </c>
      <c r="U37" s="165" t="s">
        <v>233</v>
      </c>
      <c r="V37" s="46"/>
    </row>
    <row r="38" spans="1:22">
      <c r="A38" s="46"/>
      <c r="B38" s="41">
        <f>'Passby Data Set 1'!B24</f>
        <v>1</v>
      </c>
      <c r="C38" s="199">
        <f>'Passby Data Set 3'!C24</f>
        <v>1</v>
      </c>
      <c r="D38" s="102">
        <f>'Passby Data Set 4'!D24</f>
        <v>78.8</v>
      </c>
      <c r="E38" s="103">
        <f>'Passby Data Set 4'!E24</f>
        <v>0.17419271799121638</v>
      </c>
      <c r="F38" s="104">
        <f t="shared" ref="F38:F55" si="0">(E38*E38)/($O$31*$O$31)</f>
        <v>75857757.502918586</v>
      </c>
      <c r="G38" s="41">
        <v>19</v>
      </c>
      <c r="H38" s="102">
        <f>'Passby Data Set 3'!C42</f>
        <v>1.9</v>
      </c>
      <c r="I38" s="102">
        <f>'Passby Data Set 4'!D42</f>
        <v>94</v>
      </c>
      <c r="J38" s="103">
        <f>'Passby Data Set 4'!E42</f>
        <v>1.002374467254546</v>
      </c>
      <c r="K38" s="104">
        <f t="shared" ref="K38:K55" si="1">(J38*J38)/($O$31*$O$31)</f>
        <v>2511886431.5095868</v>
      </c>
      <c r="L38" s="41">
        <v>37</v>
      </c>
      <c r="M38" s="102">
        <f>'Passby Data Set 3'!C60</f>
        <v>2.8</v>
      </c>
      <c r="N38" s="102">
        <f>'Passby Data Set 4'!D60</f>
        <v>93.4</v>
      </c>
      <c r="O38" s="103">
        <f>'Passby Data Set 4'!E60</f>
        <v>0.9354702825743979</v>
      </c>
      <c r="P38" s="104">
        <f t="shared" ref="P38:P55" si="2">(O38*O38)/($O$31*$O$31)</f>
        <v>2187761623.9495592</v>
      </c>
      <c r="Q38" s="41">
        <v>55</v>
      </c>
      <c r="R38" s="102">
        <f>'Passby Data Set 3'!C78</f>
        <v>3.7</v>
      </c>
      <c r="S38" s="102">
        <f>'Passby Data Set 4'!D78</f>
        <v>94</v>
      </c>
      <c r="T38" s="103">
        <f>'Passby Data Set 4'!E78</f>
        <v>1.002374467254546</v>
      </c>
      <c r="U38" s="104">
        <f t="shared" ref="U38:U54" si="3">(T38*T38)/($O$31*$O$31)</f>
        <v>2511886431.5095868</v>
      </c>
      <c r="V38" s="46"/>
    </row>
    <row r="39" spans="1:22">
      <c r="A39" s="46"/>
      <c r="B39" s="41">
        <f>'Passby Data Set 1'!B25</f>
        <v>2</v>
      </c>
      <c r="C39" s="199">
        <f>'Passby Data Set 3'!C25</f>
        <v>1.05</v>
      </c>
      <c r="D39" s="102">
        <f>'Passby Data Set 4'!D25</f>
        <v>79.5</v>
      </c>
      <c r="E39" s="103">
        <f>'Passby Data Set 4'!E25</f>
        <v>0.18881217525718491</v>
      </c>
      <c r="F39" s="104">
        <f t="shared" si="0"/>
        <v>89125093.813374758</v>
      </c>
      <c r="G39" s="41">
        <f>G38+1</f>
        <v>20</v>
      </c>
      <c r="H39" s="102">
        <f>'Passby Data Set 3'!C43</f>
        <v>1.95</v>
      </c>
      <c r="I39" s="102">
        <f>'Passby Data Set 4'!D43</f>
        <v>93.9</v>
      </c>
      <c r="J39" s="103">
        <f>'Passby Data Set 4'!E43</f>
        <v>0.99090038160958194</v>
      </c>
      <c r="K39" s="104">
        <f t="shared" si="1"/>
        <v>2454708915.6850371</v>
      </c>
      <c r="L39" s="41">
        <f>L38+1</f>
        <v>38</v>
      </c>
      <c r="M39" s="102">
        <f>'Passby Data Set 3'!C61</f>
        <v>2.85</v>
      </c>
      <c r="N39" s="102">
        <f>'Passby Data Set 4'!D61</f>
        <v>93.5</v>
      </c>
      <c r="O39" s="103">
        <f>'Passby Data Set 4'!E61</f>
        <v>0.94630251792296072</v>
      </c>
      <c r="P39" s="104">
        <f t="shared" si="2"/>
        <v>2238721138.5683379</v>
      </c>
      <c r="Q39" s="41">
        <f>Q38+1</f>
        <v>56</v>
      </c>
      <c r="R39" s="102">
        <f>'Passby Data Set 3'!C79</f>
        <v>3.75</v>
      </c>
      <c r="S39" s="102">
        <f>'Passby Data Set 4'!D79</f>
        <v>93.2</v>
      </c>
      <c r="T39" s="103">
        <f>'Passby Data Set 4'!E79</f>
        <v>0.9141763792297517</v>
      </c>
      <c r="U39" s="104">
        <f t="shared" si="3"/>
        <v>2089296130.8540466</v>
      </c>
      <c r="V39" s="46"/>
    </row>
    <row r="40" spans="1:22">
      <c r="A40" s="46"/>
      <c r="B40" s="41">
        <f>'Passby Data Set 1'!B26</f>
        <v>3</v>
      </c>
      <c r="C40" s="199">
        <f>'Passby Data Set 3'!C26</f>
        <v>1.1000000000000001</v>
      </c>
      <c r="D40" s="102">
        <f>'Passby Data Set 4'!D26</f>
        <v>81.3</v>
      </c>
      <c r="E40" s="103">
        <f>'Passby Data Set 4'!E26</f>
        <v>0.23228972276806861</v>
      </c>
      <c r="F40" s="104">
        <f t="shared" si="0"/>
        <v>134896288.25916541</v>
      </c>
      <c r="G40" s="41">
        <f t="shared" ref="G40:G55" si="4">G39+1</f>
        <v>21</v>
      </c>
      <c r="H40" s="102">
        <f>'Passby Data Set 3'!C44</f>
        <v>2</v>
      </c>
      <c r="I40" s="102">
        <f>'Passby Data Set 4'!D44</f>
        <v>93.8</v>
      </c>
      <c r="J40" s="103">
        <f>'Passby Data Set 4'!E44</f>
        <v>0.97955763873689206</v>
      </c>
      <c r="K40" s="104">
        <f t="shared" si="1"/>
        <v>2398832919.0194883</v>
      </c>
      <c r="L40" s="41">
        <f t="shared" ref="L40:L55" si="5">L39+1</f>
        <v>39</v>
      </c>
      <c r="M40" s="102">
        <f>'Passby Data Set 3'!C62</f>
        <v>2.9</v>
      </c>
      <c r="N40" s="102">
        <f>'Passby Data Set 4'!D62</f>
        <v>93.9</v>
      </c>
      <c r="O40" s="103">
        <f>'Passby Data Set 4'!E62</f>
        <v>0.99090038160958194</v>
      </c>
      <c r="P40" s="104">
        <f t="shared" si="2"/>
        <v>2454708915.6850371</v>
      </c>
      <c r="Q40" s="41">
        <f t="shared" ref="Q40:Q54" si="6">Q39+1</f>
        <v>57</v>
      </c>
      <c r="R40" s="102">
        <f>'Passby Data Set 3'!C80</f>
        <v>3.8</v>
      </c>
      <c r="S40" s="102">
        <f>'Passby Data Set 4'!D80</f>
        <v>92.9</v>
      </c>
      <c r="T40" s="103">
        <f>'Passby Data Set 4'!E80</f>
        <v>0.8831408947066266</v>
      </c>
      <c r="U40" s="104">
        <f t="shared" si="3"/>
        <v>1949844599.7580521</v>
      </c>
      <c r="V40" s="46"/>
    </row>
    <row r="41" spans="1:22">
      <c r="A41" s="46"/>
      <c r="B41" s="41">
        <f>'Passby Data Set 1'!B27</f>
        <v>4</v>
      </c>
      <c r="C41" s="199">
        <f>'Passby Data Set 3'!C27</f>
        <v>1.1499999999999999</v>
      </c>
      <c r="D41" s="102">
        <f>'Passby Data Set 4'!D27</f>
        <v>83.1</v>
      </c>
      <c r="E41" s="103">
        <f>'Passby Data Set 4'!E27</f>
        <v>0.28577879170222042</v>
      </c>
      <c r="F41" s="104">
        <f t="shared" si="0"/>
        <v>204173794.46695271</v>
      </c>
      <c r="G41" s="41">
        <f t="shared" si="4"/>
        <v>22</v>
      </c>
      <c r="H41" s="102">
        <f>'Passby Data Set 3'!C45</f>
        <v>2.0499999999999998</v>
      </c>
      <c r="I41" s="102">
        <f>'Passby Data Set 4'!D45</f>
        <v>93.2</v>
      </c>
      <c r="J41" s="103">
        <f>'Passby Data Set 4'!E45</f>
        <v>0.9141763792297517</v>
      </c>
      <c r="K41" s="104">
        <f t="shared" si="1"/>
        <v>2089296130.8540466</v>
      </c>
      <c r="L41" s="41">
        <f t="shared" si="5"/>
        <v>40</v>
      </c>
      <c r="M41" s="102">
        <f>'Passby Data Set 3'!C63</f>
        <v>2.95</v>
      </c>
      <c r="N41" s="102">
        <f>'Passby Data Set 4'!D63</f>
        <v>93.8</v>
      </c>
      <c r="O41" s="103">
        <f>'Passby Data Set 4'!E63</f>
        <v>0.97955763873689206</v>
      </c>
      <c r="P41" s="104">
        <f t="shared" si="2"/>
        <v>2398832919.0194883</v>
      </c>
      <c r="Q41" s="41">
        <f t="shared" si="6"/>
        <v>58</v>
      </c>
      <c r="R41" s="102">
        <f>'Passby Data Set 3'!C81</f>
        <v>3.85</v>
      </c>
      <c r="S41" s="102">
        <f>'Passby Data Set 4'!D81</f>
        <v>92.9</v>
      </c>
      <c r="T41" s="103">
        <f>'Passby Data Set 4'!E81</f>
        <v>0.8831408947066266</v>
      </c>
      <c r="U41" s="104">
        <f t="shared" si="3"/>
        <v>1949844599.7580521</v>
      </c>
      <c r="V41" s="46"/>
    </row>
    <row r="42" spans="1:22">
      <c r="A42" s="46"/>
      <c r="B42" s="41">
        <f>'Passby Data Set 1'!B28</f>
        <v>5</v>
      </c>
      <c r="C42" s="199">
        <f>'Passby Data Set 3'!C28</f>
        <v>1.2</v>
      </c>
      <c r="D42" s="102">
        <f>'Passby Data Set 4'!D28</f>
        <v>85.9</v>
      </c>
      <c r="E42" s="103">
        <f>'Passby Data Set 4'!E28</f>
        <v>0.39448454722297138</v>
      </c>
      <c r="F42" s="104">
        <f t="shared" si="0"/>
        <v>389045144.99428183</v>
      </c>
      <c r="G42" s="41">
        <f t="shared" si="4"/>
        <v>23</v>
      </c>
      <c r="H42" s="102">
        <f>'Passby Data Set 3'!C46</f>
        <v>2.1</v>
      </c>
      <c r="I42" s="102">
        <f>'Passby Data Set 4'!D46</f>
        <v>93.1</v>
      </c>
      <c r="J42" s="103">
        <f>'Passby Data Set 4'!E46</f>
        <v>0.90371188874984476</v>
      </c>
      <c r="K42" s="104">
        <f t="shared" si="1"/>
        <v>2041737944.669529</v>
      </c>
      <c r="L42" s="41">
        <f t="shared" si="5"/>
        <v>41</v>
      </c>
      <c r="M42" s="102">
        <f>'Passby Data Set 3'!C64</f>
        <v>3</v>
      </c>
      <c r="N42" s="102">
        <f>'Passby Data Set 4'!D64</f>
        <v>93.9</v>
      </c>
      <c r="O42" s="103">
        <f>'Passby Data Set 4'!E64</f>
        <v>0.99090038160958194</v>
      </c>
      <c r="P42" s="104">
        <f t="shared" si="2"/>
        <v>2454708915.6850371</v>
      </c>
      <c r="Q42" s="41">
        <f t="shared" si="6"/>
        <v>59</v>
      </c>
      <c r="R42" s="102">
        <f>'Passby Data Set 3'!C82</f>
        <v>3.9</v>
      </c>
      <c r="S42" s="102">
        <f>'Passby Data Set 4'!D82</f>
        <v>93.3</v>
      </c>
      <c r="T42" s="103">
        <f>'Passby Data Set 4'!E82</f>
        <v>0.92476204279852225</v>
      </c>
      <c r="U42" s="104">
        <f t="shared" si="3"/>
        <v>2137962089.5022395</v>
      </c>
      <c r="V42" s="46"/>
    </row>
    <row r="43" spans="1:22">
      <c r="A43" s="46"/>
      <c r="B43" s="41">
        <f>'Passby Data Set 1'!B29</f>
        <v>6</v>
      </c>
      <c r="C43" s="199">
        <f>'Passby Data Set 3'!C29</f>
        <v>1.25</v>
      </c>
      <c r="D43" s="102">
        <f>'Passby Data Set 4'!D29</f>
        <v>88.3</v>
      </c>
      <c r="E43" s="103">
        <f>'Passby Data Set 4'!E29</f>
        <v>0.52003191263305459</v>
      </c>
      <c r="F43" s="104">
        <f t="shared" si="0"/>
        <v>676082975.3919822</v>
      </c>
      <c r="G43" s="41">
        <f t="shared" si="4"/>
        <v>24</v>
      </c>
      <c r="H43" s="102">
        <f>'Passby Data Set 3'!C47</f>
        <v>2.15</v>
      </c>
      <c r="I43" s="102">
        <f>'Passby Data Set 4'!D47</f>
        <v>92.7</v>
      </c>
      <c r="J43" s="103">
        <f>'Passby Data Set 4'!E47</f>
        <v>0.86303815365553072</v>
      </c>
      <c r="K43" s="104">
        <f t="shared" si="1"/>
        <v>1862087136.6628683</v>
      </c>
      <c r="L43" s="41">
        <f t="shared" si="5"/>
        <v>42</v>
      </c>
      <c r="M43" s="102">
        <f>'Passby Data Set 3'!C65</f>
        <v>3.05</v>
      </c>
      <c r="N43" s="102">
        <f>'Passby Data Set 4'!D65</f>
        <v>94.1</v>
      </c>
      <c r="O43" s="103">
        <f>'Passby Data Set 4'!E65</f>
        <v>1.0139814165494101</v>
      </c>
      <c r="P43" s="104">
        <f t="shared" si="2"/>
        <v>2570395782.7688704</v>
      </c>
      <c r="Q43" s="41">
        <f t="shared" si="6"/>
        <v>60</v>
      </c>
      <c r="R43" s="102">
        <f>'Passby Data Set 3'!C83</f>
        <v>3.95</v>
      </c>
      <c r="S43" s="102">
        <f>'Passby Data Set 4'!D83</f>
        <v>93.3</v>
      </c>
      <c r="T43" s="103">
        <f>'Passby Data Set 4'!E83</f>
        <v>0.92476204279852225</v>
      </c>
      <c r="U43" s="104">
        <f t="shared" si="3"/>
        <v>2137962089.5022395</v>
      </c>
      <c r="V43" s="46"/>
    </row>
    <row r="44" spans="1:22">
      <c r="A44" s="46"/>
      <c r="B44" s="41">
        <f>'Passby Data Set 1'!B30</f>
        <v>7</v>
      </c>
      <c r="C44" s="199">
        <f>'Passby Data Set 3'!C30</f>
        <v>1.3</v>
      </c>
      <c r="D44" s="102">
        <f>'Passby Data Set 4'!D30</f>
        <v>90.2</v>
      </c>
      <c r="E44" s="103">
        <f>'Passby Data Set 4'!E30</f>
        <v>0.64718731385925743</v>
      </c>
      <c r="F44" s="104">
        <f t="shared" si="0"/>
        <v>1047128548.0509024</v>
      </c>
      <c r="G44" s="41">
        <f t="shared" si="4"/>
        <v>25</v>
      </c>
      <c r="H44" s="102">
        <f>'Passby Data Set 3'!C48</f>
        <v>2.2000000000000002</v>
      </c>
      <c r="I44" s="102">
        <f>'Passby Data Set 4'!D48</f>
        <v>92.5</v>
      </c>
      <c r="J44" s="103">
        <f>'Passby Data Set 4'!E48</f>
        <v>0.84339300685716478</v>
      </c>
      <c r="K44" s="104">
        <f t="shared" si="1"/>
        <v>1778279410.0389237</v>
      </c>
      <c r="L44" s="41">
        <f t="shared" si="5"/>
        <v>43</v>
      </c>
      <c r="M44" s="102">
        <f>'Passby Data Set 3'!C66</f>
        <v>3.1</v>
      </c>
      <c r="N44" s="102">
        <f>'Passby Data Set 4'!D66</f>
        <v>93.9</v>
      </c>
      <c r="O44" s="103">
        <f>'Passby Data Set 4'!E66</f>
        <v>0.99090038160958194</v>
      </c>
      <c r="P44" s="104">
        <f t="shared" si="2"/>
        <v>2454708915.6850371</v>
      </c>
      <c r="Q44" s="41">
        <f t="shared" si="6"/>
        <v>61</v>
      </c>
      <c r="R44" s="102">
        <f>'Passby Data Set 3'!C84</f>
        <v>4</v>
      </c>
      <c r="S44" s="102">
        <f>'Passby Data Set 4'!D84</f>
        <v>92.5</v>
      </c>
      <c r="T44" s="103">
        <f>'Passby Data Set 4'!E84</f>
        <v>0.84339300685716478</v>
      </c>
      <c r="U44" s="104">
        <f t="shared" si="3"/>
        <v>1778279410.0389237</v>
      </c>
      <c r="V44" s="46"/>
    </row>
    <row r="45" spans="1:22">
      <c r="A45" s="46"/>
      <c r="B45" s="41">
        <f>'Passby Data Set 1'!B31</f>
        <v>8</v>
      </c>
      <c r="C45" s="199">
        <f>'Passby Data Set 3'!C31</f>
        <v>1.35</v>
      </c>
      <c r="D45" s="102">
        <f>'Passby Data Set 4'!D31</f>
        <v>92.9</v>
      </c>
      <c r="E45" s="103">
        <f>'Passby Data Set 4'!E31</f>
        <v>0.8831408947066266</v>
      </c>
      <c r="F45" s="104">
        <f t="shared" si="0"/>
        <v>1949844599.7580521</v>
      </c>
      <c r="G45" s="41">
        <f t="shared" si="4"/>
        <v>26</v>
      </c>
      <c r="H45" s="102">
        <f>'Passby Data Set 3'!C49</f>
        <v>2.25</v>
      </c>
      <c r="I45" s="102">
        <f>'Passby Data Set 4'!D49</f>
        <v>93.2</v>
      </c>
      <c r="J45" s="103">
        <f>'Passby Data Set 4'!E49</f>
        <v>0.9141763792297517</v>
      </c>
      <c r="K45" s="104">
        <f t="shared" si="1"/>
        <v>2089296130.8540466</v>
      </c>
      <c r="L45" s="41">
        <f t="shared" si="5"/>
        <v>44</v>
      </c>
      <c r="M45" s="102">
        <f>'Passby Data Set 3'!C67</f>
        <v>3.15</v>
      </c>
      <c r="N45" s="102">
        <f>'Passby Data Set 4'!D67</f>
        <v>93.5</v>
      </c>
      <c r="O45" s="103">
        <f>'Passby Data Set 4'!E67</f>
        <v>0.94630251792296072</v>
      </c>
      <c r="P45" s="104">
        <f t="shared" si="2"/>
        <v>2238721138.5683379</v>
      </c>
      <c r="Q45" s="41">
        <f t="shared" si="6"/>
        <v>62</v>
      </c>
      <c r="R45" s="102">
        <f>'Passby Data Set 3'!C85</f>
        <v>4.05</v>
      </c>
      <c r="S45" s="102">
        <f>'Passby Data Set 4'!D85</f>
        <v>91.8</v>
      </c>
      <c r="T45" s="103">
        <f>'Passby Data Set 4'!E85</f>
        <v>0.77809028998856178</v>
      </c>
      <c r="U45" s="104">
        <f t="shared" si="3"/>
        <v>1513561248.4362102</v>
      </c>
      <c r="V45" s="46"/>
    </row>
    <row r="46" spans="1:22">
      <c r="A46" s="46"/>
      <c r="B46" s="41">
        <f>'Passby Data Set 1'!B32</f>
        <v>9</v>
      </c>
      <c r="C46" s="199">
        <f>'Passby Data Set 3'!C32</f>
        <v>1.4</v>
      </c>
      <c r="D46" s="102">
        <f>'Passby Data Set 4'!D32</f>
        <v>93</v>
      </c>
      <c r="E46" s="103">
        <f>'Passby Data Set 4'!E32</f>
        <v>0.89336718430192785</v>
      </c>
      <c r="F46" s="104">
        <f t="shared" si="0"/>
        <v>1995262314.9688866</v>
      </c>
      <c r="G46" s="41">
        <f t="shared" si="4"/>
        <v>27</v>
      </c>
      <c r="H46" s="102">
        <f>'Passby Data Set 3'!C50</f>
        <v>2.2999999999999998</v>
      </c>
      <c r="I46" s="102">
        <f>'Passby Data Set 4'!D50</f>
        <v>93.4</v>
      </c>
      <c r="J46" s="103">
        <f>'Passby Data Set 4'!E50</f>
        <v>0.9354702825743979</v>
      </c>
      <c r="K46" s="104">
        <f t="shared" si="1"/>
        <v>2187761623.9495592</v>
      </c>
      <c r="L46" s="41">
        <f t="shared" si="5"/>
        <v>45</v>
      </c>
      <c r="M46" s="102">
        <f>'Passby Data Set 3'!C68</f>
        <v>3.2</v>
      </c>
      <c r="N46" s="102">
        <f>'Passby Data Set 4'!D68</f>
        <v>93.6</v>
      </c>
      <c r="O46" s="103">
        <f>'Passby Data Set 4'!E68</f>
        <v>0.95726018464527651</v>
      </c>
      <c r="P46" s="104">
        <f t="shared" si="2"/>
        <v>2290867652.7677717</v>
      </c>
      <c r="Q46" s="41">
        <f t="shared" si="6"/>
        <v>63</v>
      </c>
      <c r="R46" s="102">
        <f>'Passby Data Set 3'!C86</f>
        <v>4.0999999999999996</v>
      </c>
      <c r="S46" s="102">
        <f>'Passby Data Set 4'!D86</f>
        <v>90.7</v>
      </c>
      <c r="T46" s="103">
        <f>'Passby Data Set 4'!E86</f>
        <v>0.68553557309290147</v>
      </c>
      <c r="U46" s="104">
        <f t="shared" si="3"/>
        <v>1174897554.939532</v>
      </c>
      <c r="V46" s="46"/>
    </row>
    <row r="47" spans="1:22">
      <c r="A47" s="46"/>
      <c r="B47" s="41">
        <f>'Passby Data Set 1'!B33</f>
        <v>10</v>
      </c>
      <c r="C47" s="199">
        <f>'Passby Data Set 3'!C33</f>
        <v>1.45</v>
      </c>
      <c r="D47" s="102">
        <f>'Passby Data Set 4'!D33</f>
        <v>93.4</v>
      </c>
      <c r="E47" s="103">
        <f>'Passby Data Set 4'!E33</f>
        <v>0.9354702825743979</v>
      </c>
      <c r="F47" s="104">
        <f t="shared" si="0"/>
        <v>2187761623.9495592</v>
      </c>
      <c r="G47" s="41">
        <f t="shared" si="4"/>
        <v>28</v>
      </c>
      <c r="H47" s="102">
        <f>'Passby Data Set 3'!C51</f>
        <v>2.35</v>
      </c>
      <c r="I47" s="102">
        <f>'Passby Data Set 4'!D51</f>
        <v>93.3</v>
      </c>
      <c r="J47" s="103">
        <f>'Passby Data Set 4'!E51</f>
        <v>0.92476204279852225</v>
      </c>
      <c r="K47" s="104">
        <f t="shared" si="1"/>
        <v>2137962089.5022395</v>
      </c>
      <c r="L47" s="41">
        <f t="shared" si="5"/>
        <v>46</v>
      </c>
      <c r="M47" s="102">
        <f>'Passby Data Set 3'!C69</f>
        <v>3.25</v>
      </c>
      <c r="N47" s="102">
        <f>'Passby Data Set 4'!D69</f>
        <v>93.4</v>
      </c>
      <c r="O47" s="103">
        <f>'Passby Data Set 4'!E69</f>
        <v>0.9354702825743979</v>
      </c>
      <c r="P47" s="104">
        <f t="shared" si="2"/>
        <v>2187761623.9495592</v>
      </c>
      <c r="Q47" s="41">
        <f t="shared" si="6"/>
        <v>64</v>
      </c>
      <c r="R47" s="102">
        <f>'Passby Data Set 3'!C87</f>
        <v>4.1500000000000004</v>
      </c>
      <c r="S47" s="102">
        <f>'Passby Data Set 4'!D87</f>
        <v>89.2</v>
      </c>
      <c r="T47" s="103">
        <f>'Passby Data Set 4'!E87</f>
        <v>0.57680630062532123</v>
      </c>
      <c r="U47" s="104">
        <f t="shared" si="3"/>
        <v>831763771.10267103</v>
      </c>
      <c r="V47" s="46"/>
    </row>
    <row r="48" spans="1:22">
      <c r="A48" s="46"/>
      <c r="B48" s="41">
        <f>'Passby Data Set 1'!B34</f>
        <v>11</v>
      </c>
      <c r="C48" s="199">
        <f>'Passby Data Set 3'!C34</f>
        <v>1.5</v>
      </c>
      <c r="D48" s="102">
        <f>'Passby Data Set 4'!D34</f>
        <v>93.7</v>
      </c>
      <c r="E48" s="103">
        <f>'Passby Data Set 4'!E34</f>
        <v>0.96834473516820019</v>
      </c>
      <c r="F48" s="104">
        <f t="shared" si="0"/>
        <v>2344228815.3199291</v>
      </c>
      <c r="G48" s="41">
        <f t="shared" si="4"/>
        <v>29</v>
      </c>
      <c r="H48" s="102">
        <f>'Passby Data Set 3'!C52</f>
        <v>2.4</v>
      </c>
      <c r="I48" s="102">
        <f>'Passby Data Set 4'!D52</f>
        <v>93.4</v>
      </c>
      <c r="J48" s="103">
        <f>'Passby Data Set 4'!E52</f>
        <v>0.9354702825743979</v>
      </c>
      <c r="K48" s="104">
        <f t="shared" si="1"/>
        <v>2187761623.9495592</v>
      </c>
      <c r="L48" s="41">
        <f t="shared" si="5"/>
        <v>47</v>
      </c>
      <c r="M48" s="102">
        <f>'Passby Data Set 3'!C70</f>
        <v>3.3</v>
      </c>
      <c r="N48" s="102">
        <f>'Passby Data Set 4'!D70</f>
        <v>93.5</v>
      </c>
      <c r="O48" s="103">
        <f>'Passby Data Set 4'!E70</f>
        <v>0.94630251792296072</v>
      </c>
      <c r="P48" s="104">
        <f t="shared" si="2"/>
        <v>2238721138.5683379</v>
      </c>
      <c r="Q48" s="41">
        <f t="shared" si="6"/>
        <v>65</v>
      </c>
      <c r="R48" s="102">
        <f>'Passby Data Set 3'!C88</f>
        <v>4.2</v>
      </c>
      <c r="S48" s="102">
        <f>'Passby Data Set 4'!D88</f>
        <v>87.2</v>
      </c>
      <c r="T48" s="103">
        <f>'Passby Data Set 4'!E88</f>
        <v>0.45817353055355509</v>
      </c>
      <c r="U48" s="104">
        <f t="shared" si="3"/>
        <v>524807460.24977362</v>
      </c>
      <c r="V48" s="46"/>
    </row>
    <row r="49" spans="1:23">
      <c r="A49" s="46"/>
      <c r="B49" s="41">
        <f>'Passby Data Set 1'!B35</f>
        <v>12</v>
      </c>
      <c r="C49" s="199">
        <f>'Passby Data Set 3'!C35</f>
        <v>1.55</v>
      </c>
      <c r="D49" s="102">
        <f>'Passby Data Set 4'!D35</f>
        <v>93.4</v>
      </c>
      <c r="E49" s="103">
        <f>'Passby Data Set 4'!E35</f>
        <v>0.9354702825743979</v>
      </c>
      <c r="F49" s="104">
        <f t="shared" si="0"/>
        <v>2187761623.9495592</v>
      </c>
      <c r="G49" s="41">
        <f t="shared" si="4"/>
        <v>30</v>
      </c>
      <c r="H49" s="102">
        <f>'Passby Data Set 3'!C53</f>
        <v>2.4500000000000002</v>
      </c>
      <c r="I49" s="102">
        <f>'Passby Data Set 4'!D53</f>
        <v>93.6</v>
      </c>
      <c r="J49" s="103">
        <f>'Passby Data Set 4'!E53</f>
        <v>0.95726018464527651</v>
      </c>
      <c r="K49" s="104">
        <f t="shared" si="1"/>
        <v>2290867652.7677717</v>
      </c>
      <c r="L49" s="41">
        <f t="shared" si="5"/>
        <v>48</v>
      </c>
      <c r="M49" s="102">
        <f>'Passby Data Set 3'!C71</f>
        <v>3.35</v>
      </c>
      <c r="N49" s="102">
        <f>'Passby Data Set 4'!D71</f>
        <v>93.7</v>
      </c>
      <c r="O49" s="103">
        <f>'Passby Data Set 4'!E71</f>
        <v>0.96834473516820019</v>
      </c>
      <c r="P49" s="104">
        <f t="shared" si="2"/>
        <v>2344228815.3199291</v>
      </c>
      <c r="Q49" s="41">
        <f t="shared" si="6"/>
        <v>66</v>
      </c>
      <c r="R49" s="102">
        <f>'Passby Data Set 3'!C89</f>
        <v>4.25</v>
      </c>
      <c r="S49" s="102">
        <f>'Passby Data Set 4'!D89</f>
        <v>86.2</v>
      </c>
      <c r="T49" s="103">
        <f>'Passby Data Set 4'!E89</f>
        <v>0.40834758893390649</v>
      </c>
      <c r="U49" s="104">
        <f t="shared" si="3"/>
        <v>416869383.47033656</v>
      </c>
      <c r="V49" s="46"/>
    </row>
    <row r="50" spans="1:23">
      <c r="A50" s="46"/>
      <c r="B50" s="41">
        <f>'Passby Data Set 1'!B36</f>
        <v>13</v>
      </c>
      <c r="C50" s="199">
        <f>'Passby Data Set 3'!C36</f>
        <v>1.6</v>
      </c>
      <c r="D50" s="102">
        <f>'Passby Data Set 4'!D36</f>
        <v>94.1</v>
      </c>
      <c r="E50" s="103">
        <f>'Passby Data Set 4'!E36</f>
        <v>1.0139814165494101</v>
      </c>
      <c r="F50" s="104">
        <f t="shared" si="0"/>
        <v>2570395782.7688704</v>
      </c>
      <c r="G50" s="41">
        <f t="shared" si="4"/>
        <v>31</v>
      </c>
      <c r="H50" s="102">
        <f>'Passby Data Set 3'!C54</f>
        <v>2.5</v>
      </c>
      <c r="I50" s="102">
        <f>'Passby Data Set 4'!D54</f>
        <v>93.9</v>
      </c>
      <c r="J50" s="103">
        <f>'Passby Data Set 4'!E54</f>
        <v>0.99090038160958194</v>
      </c>
      <c r="K50" s="104">
        <f t="shared" si="1"/>
        <v>2454708915.6850371</v>
      </c>
      <c r="L50" s="41">
        <f t="shared" si="5"/>
        <v>49</v>
      </c>
      <c r="M50" s="102">
        <f>'Passby Data Set 3'!C72</f>
        <v>3.4</v>
      </c>
      <c r="N50" s="102">
        <f>'Passby Data Set 4'!D72</f>
        <v>93.8</v>
      </c>
      <c r="O50" s="103">
        <f>'Passby Data Set 4'!E72</f>
        <v>0.97955763873689206</v>
      </c>
      <c r="P50" s="104">
        <f t="shared" si="2"/>
        <v>2398832919.0194883</v>
      </c>
      <c r="Q50" s="41">
        <f t="shared" si="6"/>
        <v>67</v>
      </c>
      <c r="R50" s="102">
        <f>'Passby Data Set 3'!C90</f>
        <v>4.3</v>
      </c>
      <c r="S50" s="102">
        <f>'Passby Data Set 4'!D90</f>
        <v>84.7</v>
      </c>
      <c r="T50" s="103">
        <f>'Passby Data Set 4'!E90</f>
        <v>0.34358167743151841</v>
      </c>
      <c r="U50" s="104">
        <f t="shared" si="3"/>
        <v>295120922.66663986</v>
      </c>
      <c r="V50" s="46"/>
    </row>
    <row r="51" spans="1:23">
      <c r="A51" s="46"/>
      <c r="B51" s="41">
        <f>'Passby Data Set 1'!B37</f>
        <v>14</v>
      </c>
      <c r="C51" s="199">
        <f>'Passby Data Set 3'!C37</f>
        <v>1.65</v>
      </c>
      <c r="D51" s="102">
        <f>'Passby Data Set 4'!D37</f>
        <v>93.4</v>
      </c>
      <c r="E51" s="103">
        <f>'Passby Data Set 4'!E37</f>
        <v>0.9354702825743979</v>
      </c>
      <c r="F51" s="104">
        <f t="shared" si="0"/>
        <v>2187761623.9495592</v>
      </c>
      <c r="G51" s="41">
        <f t="shared" si="4"/>
        <v>32</v>
      </c>
      <c r="H51" s="102">
        <f>'Passby Data Set 3'!C55</f>
        <v>2.5499999999999998</v>
      </c>
      <c r="I51" s="102">
        <f>'Passby Data Set 4'!D55</f>
        <v>93.7</v>
      </c>
      <c r="J51" s="103">
        <f>'Passby Data Set 4'!E55</f>
        <v>0.96834473516820019</v>
      </c>
      <c r="K51" s="104">
        <f t="shared" si="1"/>
        <v>2344228815.3199291</v>
      </c>
      <c r="L51" s="41">
        <f t="shared" si="5"/>
        <v>50</v>
      </c>
      <c r="M51" s="102">
        <f>'Passby Data Set 3'!C73</f>
        <v>3.45</v>
      </c>
      <c r="N51" s="102">
        <f>'Passby Data Set 4'!D73</f>
        <v>93.2</v>
      </c>
      <c r="O51" s="103">
        <f>'Passby Data Set 4'!E73</f>
        <v>0.9141763792297517</v>
      </c>
      <c r="P51" s="104">
        <f t="shared" si="2"/>
        <v>2089296130.8540466</v>
      </c>
      <c r="Q51" s="41">
        <f t="shared" si="6"/>
        <v>68</v>
      </c>
      <c r="R51" s="102">
        <f>'Passby Data Set 3'!C91</f>
        <v>4.3499999999999996</v>
      </c>
      <c r="S51" s="102">
        <f>'Passby Data Set 4'!D91</f>
        <v>83.2</v>
      </c>
      <c r="T51" s="103">
        <f>'Passby Data Set 4'!E91</f>
        <v>0.28908795414918587</v>
      </c>
      <c r="U51" s="104">
        <f t="shared" si="3"/>
        <v>208929613.08540446</v>
      </c>
      <c r="V51" s="46"/>
    </row>
    <row r="52" spans="1:23">
      <c r="A52" s="46"/>
      <c r="B52" s="41">
        <f>'Passby Data Set 1'!B38</f>
        <v>15</v>
      </c>
      <c r="C52" s="199">
        <f>'Passby Data Set 3'!C38</f>
        <v>1.7</v>
      </c>
      <c r="D52" s="102">
        <f>'Passby Data Set 4'!D38</f>
        <v>94.3</v>
      </c>
      <c r="E52" s="103">
        <f>'Passby Data Set 4'!E38</f>
        <v>1.0376000778579235</v>
      </c>
      <c r="F52" s="104">
        <f t="shared" si="0"/>
        <v>2691534803.9269218</v>
      </c>
      <c r="G52" s="41">
        <f t="shared" si="4"/>
        <v>33</v>
      </c>
      <c r="H52" s="102">
        <f>'Passby Data Set 3'!C56</f>
        <v>2.6</v>
      </c>
      <c r="I52" s="102">
        <f>'Passby Data Set 4'!D56</f>
        <v>94.1</v>
      </c>
      <c r="J52" s="103">
        <f>'Passby Data Set 4'!E56</f>
        <v>1.0139814165494101</v>
      </c>
      <c r="K52" s="104">
        <f t="shared" si="1"/>
        <v>2570395782.7688704</v>
      </c>
      <c r="L52" s="41">
        <f t="shared" si="5"/>
        <v>51</v>
      </c>
      <c r="M52" s="102">
        <f>'Passby Data Set 3'!C74</f>
        <v>3.5</v>
      </c>
      <c r="N52" s="102">
        <f>'Passby Data Set 4'!D74</f>
        <v>93.4</v>
      </c>
      <c r="O52" s="103">
        <f>'Passby Data Set 4'!E74</f>
        <v>0.9354702825743979</v>
      </c>
      <c r="P52" s="104">
        <f t="shared" si="2"/>
        <v>2187761623.9495592</v>
      </c>
      <c r="Q52" s="41">
        <f t="shared" si="6"/>
        <v>69</v>
      </c>
      <c r="R52" s="102">
        <f>'Passby Data Set 3'!C92</f>
        <v>4.4000000000000004</v>
      </c>
      <c r="S52" s="102">
        <f>'Passby Data Set 4'!D92</f>
        <v>82.2</v>
      </c>
      <c r="T52" s="103">
        <f>'Passby Data Set 4'!E92</f>
        <v>0.25764991033862722</v>
      </c>
      <c r="U52" s="104">
        <f t="shared" si="3"/>
        <v>165958690.74375659</v>
      </c>
      <c r="V52" s="46"/>
    </row>
    <row r="53" spans="1:23">
      <c r="A53" s="46"/>
      <c r="B53" s="41">
        <f>B52+1</f>
        <v>16</v>
      </c>
      <c r="C53" s="199">
        <f>'Passby Data Set 3'!C39</f>
        <v>1.75</v>
      </c>
      <c r="D53" s="102">
        <f>'Passby Data Set 4'!D39</f>
        <v>94.2</v>
      </c>
      <c r="E53" s="103">
        <f>'Passby Data Set 4'!E39</f>
        <v>1.025722767982731</v>
      </c>
      <c r="F53" s="104">
        <f t="shared" si="0"/>
        <v>2630267991.8953881</v>
      </c>
      <c r="G53" s="41">
        <f t="shared" si="4"/>
        <v>34</v>
      </c>
      <c r="H53" s="102">
        <f>'Passby Data Set 3'!C57</f>
        <v>2.65</v>
      </c>
      <c r="I53" s="102">
        <f>'Passby Data Set 4'!D57</f>
        <v>94.5</v>
      </c>
      <c r="J53" s="103">
        <f>'Passby Data Set 4'!E57</f>
        <v>1.0617688884619778</v>
      </c>
      <c r="K53" s="104">
        <f t="shared" si="1"/>
        <v>2818382931.2644591</v>
      </c>
      <c r="L53" s="41">
        <f t="shared" si="5"/>
        <v>52</v>
      </c>
      <c r="M53" s="102">
        <f>'Passby Data Set 3'!C75</f>
        <v>3.55</v>
      </c>
      <c r="N53" s="102">
        <f>'Passby Data Set 4'!D75</f>
        <v>94</v>
      </c>
      <c r="O53" s="103">
        <f>'Passby Data Set 4'!E75</f>
        <v>1.002374467254546</v>
      </c>
      <c r="P53" s="104">
        <f t="shared" si="2"/>
        <v>2511886431.5095868</v>
      </c>
      <c r="Q53" s="41">
        <f t="shared" si="6"/>
        <v>70</v>
      </c>
      <c r="R53" s="102">
        <f>'Passby Data Set 3'!C93</f>
        <v>4.45</v>
      </c>
      <c r="S53" s="102">
        <f>'Passby Data Set 4'!D93</f>
        <v>81.2</v>
      </c>
      <c r="T53" s="103">
        <f>'Passby Data Set 4'!E93</f>
        <v>0.22963072429937706</v>
      </c>
      <c r="U53" s="104">
        <f t="shared" si="3"/>
        <v>131825673.85564128</v>
      </c>
      <c r="V53" s="46"/>
    </row>
    <row r="54" spans="1:23">
      <c r="A54" s="46"/>
      <c r="B54" s="41">
        <f t="shared" ref="B54:B55" si="7">B53+1</f>
        <v>17</v>
      </c>
      <c r="C54" s="199">
        <f>'Passby Data Set 3'!C40</f>
        <v>1.8</v>
      </c>
      <c r="D54" s="102">
        <f>'Passby Data Set 4'!D40</f>
        <v>93.8</v>
      </c>
      <c r="E54" s="103">
        <f>'Passby Data Set 4'!E40</f>
        <v>0.97955763873689206</v>
      </c>
      <c r="F54" s="104">
        <f t="shared" si="0"/>
        <v>2398832919.0194883</v>
      </c>
      <c r="G54" s="41">
        <f t="shared" si="4"/>
        <v>35</v>
      </c>
      <c r="H54" s="102">
        <f>'Passby Data Set 3'!C58</f>
        <v>2.7</v>
      </c>
      <c r="I54" s="102">
        <f>'Passby Data Set 4'!D58</f>
        <v>94.7</v>
      </c>
      <c r="J54" s="103">
        <f>'Passby Data Set 4'!E58</f>
        <v>1.0865006629848677</v>
      </c>
      <c r="K54" s="104">
        <f t="shared" si="1"/>
        <v>2951209226.6663918</v>
      </c>
      <c r="L54" s="41">
        <f t="shared" si="5"/>
        <v>53</v>
      </c>
      <c r="M54" s="102">
        <f>'Passby Data Set 3'!C76</f>
        <v>3.6</v>
      </c>
      <c r="N54" s="102">
        <f>'Passby Data Set 4'!D76</f>
        <v>93.6</v>
      </c>
      <c r="O54" s="103">
        <f>'Passby Data Set 4'!E76</f>
        <v>0.95726018464527651</v>
      </c>
      <c r="P54" s="104">
        <f t="shared" si="2"/>
        <v>2290867652.7677717</v>
      </c>
      <c r="Q54" s="41">
        <f t="shared" si="6"/>
        <v>71</v>
      </c>
      <c r="R54" s="102">
        <f>'Passby Data Set 3'!C94</f>
        <v>4.5</v>
      </c>
      <c r="S54" s="102">
        <f>'Passby Data Set 4'!D94</f>
        <v>80.2</v>
      </c>
      <c r="T54" s="103">
        <f>'Passby Data Set 4'!E94</f>
        <v>0.204658598456151</v>
      </c>
      <c r="U54" s="104">
        <f t="shared" si="3"/>
        <v>104712854.80509011</v>
      </c>
      <c r="V54" s="46"/>
    </row>
    <row r="55" spans="1:23">
      <c r="A55" s="46"/>
      <c r="B55" s="41">
        <f t="shared" si="7"/>
        <v>18</v>
      </c>
      <c r="C55" s="199">
        <f>'Passby Data Set 3'!C41</f>
        <v>1.85</v>
      </c>
      <c r="D55" s="102">
        <f>'Passby Data Set 4'!D41</f>
        <v>93.5</v>
      </c>
      <c r="E55" s="103">
        <f>'Passby Data Set 4'!E41</f>
        <v>0.94630251792296072</v>
      </c>
      <c r="F55" s="104">
        <f t="shared" si="0"/>
        <v>2238721138.5683379</v>
      </c>
      <c r="G55" s="41">
        <f t="shared" si="4"/>
        <v>36</v>
      </c>
      <c r="H55" s="102">
        <f>'Passby Data Set 3'!C59</f>
        <v>2.75</v>
      </c>
      <c r="I55" s="102">
        <f>'Passby Data Set 4'!D59</f>
        <v>94.2</v>
      </c>
      <c r="J55" s="103">
        <f>'Passby Data Set 4'!E59</f>
        <v>1.025722767982731</v>
      </c>
      <c r="K55" s="104">
        <f t="shared" si="1"/>
        <v>2630267991.8953881</v>
      </c>
      <c r="L55" s="41">
        <f t="shared" si="5"/>
        <v>54</v>
      </c>
      <c r="M55" s="102">
        <f>'Passby Data Set 3'!C77</f>
        <v>3.65</v>
      </c>
      <c r="N55" s="102">
        <f>'Passby Data Set 4'!D77</f>
        <v>94</v>
      </c>
      <c r="O55" s="103">
        <f>'Passby Data Set 4'!E77</f>
        <v>1.002374467254546</v>
      </c>
      <c r="P55" s="104">
        <f t="shared" si="2"/>
        <v>2511886431.5095868</v>
      </c>
      <c r="Q55" s="669"/>
      <c r="R55" s="671"/>
      <c r="S55" s="671"/>
      <c r="T55" s="671"/>
      <c r="U55" s="670"/>
      <c r="V55" s="46"/>
    </row>
    <row r="56" spans="1:23">
      <c r="A56" s="46"/>
      <c r="B56" s="114"/>
      <c r="C56" s="115"/>
      <c r="D56" s="115"/>
      <c r="E56" s="115"/>
      <c r="F56" s="8"/>
      <c r="G56" s="8"/>
      <c r="H56" s="8"/>
      <c r="I56" s="8"/>
      <c r="J56" s="8"/>
      <c r="K56" s="8"/>
      <c r="L56" s="8"/>
      <c r="M56" s="8"/>
      <c r="N56" s="8"/>
      <c r="O56" s="8"/>
      <c r="P56" s="8"/>
      <c r="Q56" s="8"/>
      <c r="R56" s="8"/>
      <c r="S56" s="8"/>
      <c r="T56" s="8"/>
      <c r="U56" s="9"/>
      <c r="V56" s="46"/>
    </row>
    <row r="57" spans="1:23" ht="15" customHeight="1">
      <c r="A57" s="46"/>
      <c r="B57" s="116" t="s">
        <v>234</v>
      </c>
      <c r="C57" s="117"/>
      <c r="D57" s="76"/>
      <c r="E57" s="85"/>
      <c r="F57" s="11"/>
      <c r="G57" s="11"/>
      <c r="H57" s="11"/>
      <c r="I57" s="15">
        <v>8</v>
      </c>
      <c r="J57" s="15" t="s">
        <v>238</v>
      </c>
      <c r="K57" s="11"/>
      <c r="L57" s="11"/>
      <c r="M57" s="11"/>
      <c r="N57" s="11"/>
      <c r="O57" s="11"/>
      <c r="P57" s="11"/>
      <c r="Q57" s="11"/>
      <c r="R57" s="11"/>
      <c r="S57" s="11"/>
      <c r="T57" s="11"/>
      <c r="U57" s="12"/>
      <c r="V57" s="46"/>
    </row>
    <row r="58" spans="1:23" ht="15" customHeight="1">
      <c r="A58" s="46"/>
      <c r="B58" s="116" t="s">
        <v>235</v>
      </c>
      <c r="C58" s="66"/>
      <c r="D58" s="76"/>
      <c r="E58" s="85"/>
      <c r="F58" s="11"/>
      <c r="G58" s="11"/>
      <c r="H58" s="11"/>
      <c r="I58" s="15">
        <v>60</v>
      </c>
      <c r="J58" s="15" t="s">
        <v>239</v>
      </c>
      <c r="K58" s="11" t="s">
        <v>240</v>
      </c>
      <c r="L58" s="11"/>
      <c r="M58" s="11"/>
      <c r="N58" s="118">
        <f>(SUM(F45:F55)+SUM(K38:K55)+SUM(P38:P55)+SUM(T38:T43))*$P$32</f>
        <v>5461635734.3407497</v>
      </c>
      <c r="O58" s="11"/>
      <c r="P58" s="11"/>
      <c r="Q58" s="11"/>
      <c r="R58" s="11"/>
      <c r="S58" s="11"/>
      <c r="T58" s="11"/>
      <c r="U58" s="12"/>
      <c r="V58" s="46"/>
    </row>
    <row r="59" spans="1:23" ht="15" customHeight="1">
      <c r="A59" s="46"/>
      <c r="B59" s="116"/>
      <c r="C59" s="66"/>
      <c r="D59" s="76"/>
      <c r="E59" s="85"/>
      <c r="F59" s="11"/>
      <c r="G59" s="11"/>
      <c r="H59" s="11"/>
      <c r="I59" s="15"/>
      <c r="J59" s="15"/>
      <c r="K59" s="11"/>
      <c r="L59" s="11"/>
      <c r="M59" s="11"/>
      <c r="N59" s="118"/>
      <c r="O59" s="11"/>
      <c r="P59" s="11"/>
      <c r="Q59" s="11"/>
      <c r="R59" s="11"/>
      <c r="S59" s="11"/>
      <c r="T59" s="11"/>
      <c r="U59" s="12"/>
      <c r="V59" s="46"/>
    </row>
    <row r="60" spans="1:23">
      <c r="A60" s="46"/>
      <c r="B60" s="116"/>
      <c r="C60" s="66"/>
      <c r="D60" s="76"/>
      <c r="E60" s="85"/>
      <c r="F60" s="11"/>
      <c r="G60" s="11"/>
      <c r="H60" s="11"/>
      <c r="I60" s="11"/>
      <c r="J60" s="11"/>
      <c r="K60" s="11"/>
      <c r="L60" s="11"/>
      <c r="M60" s="11"/>
      <c r="N60" s="11"/>
      <c r="O60" s="11"/>
      <c r="P60" s="11"/>
      <c r="Q60" s="11"/>
      <c r="R60" s="11"/>
      <c r="S60" s="11"/>
      <c r="T60" s="11"/>
      <c r="U60" s="12"/>
      <c r="V60" s="46"/>
    </row>
    <row r="61" spans="1:23" ht="16.5">
      <c r="A61" s="46"/>
      <c r="B61" s="116" t="s">
        <v>241</v>
      </c>
      <c r="C61" s="66"/>
      <c r="D61" s="76"/>
      <c r="E61" s="85"/>
      <c r="F61" s="158" t="s">
        <v>291</v>
      </c>
      <c r="G61" s="147">
        <f>10*LOG10((1/D15)*N58)</f>
        <v>93.129595257940508</v>
      </c>
      <c r="H61" s="113" t="s">
        <v>28</v>
      </c>
      <c r="I61" s="11"/>
      <c r="J61" s="11"/>
      <c r="K61" s="11"/>
      <c r="L61" s="11"/>
      <c r="M61" s="11"/>
      <c r="N61" s="11"/>
      <c r="O61" s="11"/>
      <c r="P61" s="11"/>
      <c r="Q61" s="11"/>
      <c r="R61" s="11"/>
      <c r="S61" s="11"/>
      <c r="T61" s="11"/>
      <c r="U61" s="12"/>
      <c r="V61" s="46"/>
    </row>
    <row r="62" spans="1:23">
      <c r="A62" s="46"/>
      <c r="B62" s="116"/>
      <c r="C62" s="66"/>
      <c r="D62" s="66"/>
      <c r="E62" s="85"/>
      <c r="F62" s="11"/>
      <c r="G62" s="11"/>
      <c r="H62" s="11"/>
      <c r="I62" s="11"/>
      <c r="J62" s="11"/>
      <c r="K62" s="11"/>
      <c r="L62" s="11"/>
      <c r="M62" s="11"/>
      <c r="N62" s="11"/>
      <c r="O62" s="11"/>
      <c r="P62" s="11"/>
      <c r="Q62" s="11"/>
      <c r="R62" s="11"/>
      <c r="S62" s="11"/>
      <c r="T62" s="11"/>
      <c r="U62" s="12"/>
      <c r="V62" s="46"/>
    </row>
    <row r="63" spans="1:23">
      <c r="A63" s="46"/>
      <c r="B63" s="119"/>
      <c r="C63" s="120"/>
      <c r="D63" s="121"/>
      <c r="E63" s="122"/>
      <c r="F63" s="18"/>
      <c r="G63" s="18"/>
      <c r="H63" s="18"/>
      <c r="I63" s="18"/>
      <c r="J63" s="18"/>
      <c r="K63" s="18"/>
      <c r="L63" s="18"/>
      <c r="M63" s="18"/>
      <c r="N63" s="18"/>
      <c r="O63" s="18"/>
      <c r="P63" s="18"/>
      <c r="Q63" s="18"/>
      <c r="R63" s="18"/>
      <c r="S63" s="18"/>
      <c r="T63" s="18"/>
      <c r="U63" s="19"/>
      <c r="V63" s="46"/>
    </row>
    <row r="64" spans="1:23">
      <c r="A64" s="46"/>
      <c r="B64" s="79"/>
      <c r="C64" s="82"/>
      <c r="D64" s="82"/>
      <c r="E64" s="85"/>
      <c r="F64" s="11"/>
      <c r="G64" s="46"/>
      <c r="H64" s="46"/>
      <c r="I64" s="46"/>
      <c r="J64" s="46"/>
      <c r="K64" s="46"/>
      <c r="L64" s="46"/>
      <c r="M64" s="46"/>
      <c r="N64" s="46"/>
      <c r="O64" s="46"/>
      <c r="P64" s="46"/>
      <c r="Q64" s="46"/>
      <c r="R64" s="46"/>
      <c r="S64" s="46"/>
      <c r="T64" s="46"/>
      <c r="U64" s="46"/>
      <c r="V64" s="46"/>
      <c r="W64" s="46"/>
    </row>
    <row r="65" spans="1:22">
      <c r="A65" s="46"/>
      <c r="B65" s="132" t="s">
        <v>255</v>
      </c>
      <c r="C65" s="133"/>
      <c r="D65" s="133"/>
      <c r="E65" s="134"/>
      <c r="F65" s="8"/>
      <c r="G65" s="8"/>
      <c r="H65" s="8"/>
      <c r="I65" s="8"/>
      <c r="J65" s="8"/>
      <c r="K65" s="8"/>
      <c r="L65" s="8"/>
      <c r="M65" s="8"/>
      <c r="N65" s="8"/>
      <c r="O65" s="8"/>
      <c r="P65" s="8" t="s">
        <v>452</v>
      </c>
      <c r="Q65" s="8"/>
      <c r="R65" s="8"/>
      <c r="S65" s="8"/>
      <c r="T65" s="8"/>
      <c r="U65" s="9"/>
      <c r="V65" s="46"/>
    </row>
    <row r="66" spans="1:22" ht="42" customHeight="1">
      <c r="A66" s="46"/>
      <c r="B66" s="116"/>
      <c r="C66" s="66"/>
      <c r="D66" s="66"/>
      <c r="E66" s="398" t="s">
        <v>40</v>
      </c>
      <c r="F66" s="398" t="s">
        <v>41</v>
      </c>
      <c r="G66" s="398" t="s">
        <v>256</v>
      </c>
      <c r="H66" s="537" t="s">
        <v>267</v>
      </c>
      <c r="I66" s="454"/>
      <c r="J66" s="455"/>
      <c r="K66" s="455"/>
      <c r="L66" s="505"/>
      <c r="M66" s="504" t="s">
        <v>264</v>
      </c>
      <c r="N66" s="506"/>
      <c r="O66" s="11"/>
      <c r="P66" s="73" t="s">
        <v>716</v>
      </c>
      <c r="Q66" s="220"/>
      <c r="R66" s="220"/>
      <c r="S66" s="220"/>
      <c r="T66" s="220"/>
      <c r="U66" s="12"/>
      <c r="V66" s="46"/>
    </row>
    <row r="67" spans="1:22" ht="20.149999999999999" customHeight="1">
      <c r="A67" s="46"/>
      <c r="B67" s="116"/>
      <c r="C67" s="135"/>
      <c r="D67" s="66"/>
      <c r="E67" s="512"/>
      <c r="F67" s="512"/>
      <c r="G67" s="471"/>
      <c r="H67" s="394" t="s">
        <v>257</v>
      </c>
      <c r="I67" s="167" t="s">
        <v>258</v>
      </c>
      <c r="J67" s="469" t="s">
        <v>259</v>
      </c>
      <c r="K67" s="393" t="s">
        <v>260</v>
      </c>
      <c r="L67" s="429"/>
      <c r="M67" s="503"/>
      <c r="N67" s="430"/>
      <c r="O67" s="11"/>
      <c r="P67" s="73" t="s">
        <v>717</v>
      </c>
      <c r="Q67" s="220"/>
      <c r="R67" s="220"/>
      <c r="S67" s="220"/>
      <c r="T67" s="220"/>
      <c r="U67" s="12"/>
      <c r="V67" s="46"/>
    </row>
    <row r="68" spans="1:22">
      <c r="A68" s="46"/>
      <c r="B68" s="116"/>
      <c r="C68" s="66"/>
      <c r="D68" s="66"/>
      <c r="E68" s="587">
        <v>1</v>
      </c>
      <c r="F68" s="502">
        <v>7.5</v>
      </c>
      <c r="G68" s="502">
        <v>1.2</v>
      </c>
      <c r="H68" s="96"/>
      <c r="I68" s="96" t="s">
        <v>263</v>
      </c>
      <c r="J68" s="96"/>
      <c r="K68" s="96"/>
      <c r="L68" s="694" t="s">
        <v>268</v>
      </c>
      <c r="M68" s="695"/>
      <c r="N68" s="649"/>
      <c r="O68" s="11"/>
      <c r="P68" s="374" t="s">
        <v>718</v>
      </c>
      <c r="Q68" s="215"/>
      <c r="R68" s="215"/>
      <c r="S68" s="215"/>
      <c r="T68" s="215"/>
      <c r="U68" s="12"/>
      <c r="V68" s="46"/>
    </row>
    <row r="69" spans="1:22">
      <c r="A69" s="46"/>
      <c r="B69" s="116"/>
      <c r="C69" s="66"/>
      <c r="D69" s="66"/>
      <c r="E69" s="69">
        <v>2</v>
      </c>
      <c r="F69" s="96">
        <v>7.5</v>
      </c>
      <c r="G69" s="96">
        <v>3.5</v>
      </c>
      <c r="H69" s="96"/>
      <c r="I69" s="96" t="s">
        <v>263</v>
      </c>
      <c r="J69" s="96"/>
      <c r="K69" s="96"/>
      <c r="L69" s="508" t="s">
        <v>269</v>
      </c>
      <c r="M69" s="508"/>
      <c r="N69" s="508"/>
      <c r="O69" s="11"/>
      <c r="P69" s="376" t="s">
        <v>720</v>
      </c>
      <c r="Q69" s="215"/>
      <c r="R69" s="215"/>
      <c r="S69" s="215"/>
      <c r="T69" s="215"/>
      <c r="U69" s="12"/>
      <c r="V69" s="46"/>
    </row>
    <row r="70" spans="1:22">
      <c r="A70" s="46"/>
      <c r="B70" s="116"/>
      <c r="C70" s="66"/>
      <c r="D70" s="66"/>
      <c r="E70" s="69">
        <v>3</v>
      </c>
      <c r="F70" s="96">
        <v>25</v>
      </c>
      <c r="G70" s="96">
        <v>3.5</v>
      </c>
      <c r="H70" s="96"/>
      <c r="I70" s="96" t="s">
        <v>262</v>
      </c>
      <c r="J70" s="96"/>
      <c r="K70" s="281" t="s">
        <v>261</v>
      </c>
      <c r="L70" s="508" t="s">
        <v>265</v>
      </c>
      <c r="M70" s="508"/>
      <c r="N70" s="508"/>
      <c r="O70" s="11"/>
      <c r="P70" s="375" t="s">
        <v>719</v>
      </c>
      <c r="Q70" s="215"/>
      <c r="R70" s="215"/>
      <c r="S70" s="215"/>
      <c r="T70" s="215"/>
      <c r="U70" s="12"/>
      <c r="V70" s="46"/>
    </row>
    <row r="71" spans="1:22">
      <c r="A71" s="46"/>
      <c r="B71" s="116"/>
      <c r="C71" s="66"/>
      <c r="D71" s="66"/>
      <c r="E71" s="69">
        <v>4</v>
      </c>
      <c r="F71" s="96">
        <v>30</v>
      </c>
      <c r="G71" s="96">
        <v>1.2</v>
      </c>
      <c r="H71" s="96" t="s">
        <v>261</v>
      </c>
      <c r="I71" s="96"/>
      <c r="J71" s="96" t="s">
        <v>261</v>
      </c>
      <c r="K71" s="96"/>
      <c r="L71" s="508" t="s">
        <v>436</v>
      </c>
      <c r="M71" s="508"/>
      <c r="N71" s="508"/>
      <c r="O71" s="11"/>
      <c r="P71" s="374" t="s">
        <v>721</v>
      </c>
      <c r="Q71" s="213"/>
      <c r="R71" s="213"/>
      <c r="S71" s="213"/>
      <c r="T71" s="213"/>
      <c r="U71" s="12"/>
      <c r="V71" s="46"/>
    </row>
    <row r="72" spans="1:22" ht="19.5" customHeight="1">
      <c r="A72" s="46"/>
      <c r="B72" s="116"/>
      <c r="C72" s="136" t="s">
        <v>714</v>
      </c>
      <c r="D72" s="66"/>
      <c r="E72" s="109"/>
      <c r="F72" s="125"/>
      <c r="G72" s="125"/>
      <c r="H72" s="11"/>
      <c r="I72" s="11"/>
      <c r="J72" s="11"/>
      <c r="K72" s="11"/>
      <c r="L72" s="11"/>
      <c r="M72" s="11"/>
      <c r="N72" s="11"/>
      <c r="O72" s="11"/>
      <c r="P72" s="376" t="s">
        <v>722</v>
      </c>
      <c r="Q72" s="11"/>
      <c r="R72" s="11"/>
      <c r="S72" s="11"/>
      <c r="T72" s="11"/>
      <c r="U72" s="12"/>
      <c r="V72" s="46"/>
    </row>
    <row r="73" spans="1:22">
      <c r="A73" s="46"/>
      <c r="B73" s="116"/>
      <c r="C73" s="136" t="s">
        <v>715</v>
      </c>
      <c r="D73" s="66"/>
      <c r="E73" s="109"/>
      <c r="F73" s="11"/>
      <c r="G73" s="11"/>
      <c r="H73" s="11"/>
      <c r="I73" s="11"/>
      <c r="J73" s="11"/>
      <c r="K73" s="11"/>
      <c r="L73" s="11"/>
      <c r="M73" s="11"/>
      <c r="N73" s="11"/>
      <c r="O73" s="11"/>
      <c r="P73" s="376" t="s">
        <v>723</v>
      </c>
      <c r="Q73" s="11"/>
      <c r="R73" s="11"/>
      <c r="S73" s="11"/>
      <c r="T73" s="11"/>
      <c r="U73" s="12"/>
      <c r="V73" s="46"/>
    </row>
    <row r="74" spans="1:22" ht="32.5" customHeight="1">
      <c r="A74" s="46"/>
      <c r="B74" s="116"/>
      <c r="C74" s="66"/>
      <c r="D74" s="66"/>
      <c r="E74" s="398" t="s">
        <v>40</v>
      </c>
      <c r="F74" s="398" t="s">
        <v>41</v>
      </c>
      <c r="G74" s="398" t="s">
        <v>256</v>
      </c>
      <c r="H74" s="505" t="s">
        <v>806</v>
      </c>
      <c r="I74" s="415"/>
      <c r="J74" s="515" t="s">
        <v>807</v>
      </c>
      <c r="K74" s="415"/>
      <c r="L74" s="11"/>
      <c r="M74" s="11"/>
      <c r="N74" s="11"/>
      <c r="O74" s="11"/>
      <c r="P74" s="631"/>
      <c r="Q74" s="628" t="s">
        <v>819</v>
      </c>
      <c r="R74" s="513"/>
      <c r="S74" s="513"/>
      <c r="T74" s="513"/>
      <c r="U74" s="632"/>
      <c r="V74" s="46"/>
    </row>
    <row r="75" spans="1:22" ht="13" customHeight="1">
      <c r="A75" s="46"/>
      <c r="B75" s="116"/>
      <c r="C75" s="66"/>
      <c r="D75" s="66"/>
      <c r="E75" s="512"/>
      <c r="F75" s="512"/>
      <c r="G75" s="471"/>
      <c r="H75" s="624"/>
      <c r="I75" s="510"/>
      <c r="J75" s="672"/>
      <c r="K75" s="510"/>
      <c r="L75" s="11"/>
      <c r="M75" s="123" t="s">
        <v>271</v>
      </c>
      <c r="N75" s="11"/>
      <c r="O75" s="11"/>
      <c r="P75" s="11"/>
      <c r="Q75" s="622" t="s">
        <v>809</v>
      </c>
      <c r="R75" s="588"/>
      <c r="S75" s="511"/>
      <c r="T75" s="511"/>
      <c r="U75" s="632"/>
      <c r="V75" s="46"/>
    </row>
    <row r="76" spans="1:22" ht="14.5" customHeight="1">
      <c r="A76" s="46"/>
      <c r="B76" s="116"/>
      <c r="C76" s="66"/>
      <c r="D76" s="66"/>
      <c r="E76" s="587">
        <v>1</v>
      </c>
      <c r="F76" s="502">
        <v>7.5</v>
      </c>
      <c r="G76" s="697">
        <v>1.2</v>
      </c>
      <c r="H76" s="701"/>
      <c r="I76" s="707">
        <f>G61</f>
        <v>93.129595257940508</v>
      </c>
      <c r="J76" s="701"/>
      <c r="K76" s="724">
        <f>0.00002*10^(I76/20)</f>
        <v>0.90679633999357745</v>
      </c>
      <c r="L76" s="11"/>
      <c r="M76" s="11" t="s">
        <v>270</v>
      </c>
      <c r="N76" s="11"/>
      <c r="O76" s="11"/>
      <c r="P76" s="11"/>
      <c r="Q76" s="482" t="s">
        <v>399</v>
      </c>
      <c r="R76" s="627" t="s">
        <v>745</v>
      </c>
      <c r="S76" s="452"/>
      <c r="T76" s="452"/>
      <c r="U76" s="632"/>
      <c r="V76" s="46"/>
    </row>
    <row r="77" spans="1:22" ht="15" customHeight="1">
      <c r="A77" s="46"/>
      <c r="B77" s="116"/>
      <c r="C77" s="66"/>
      <c r="D77" s="66"/>
      <c r="E77" s="69">
        <v>2</v>
      </c>
      <c r="F77" s="96">
        <v>7.5</v>
      </c>
      <c r="G77" s="698">
        <v>3.5</v>
      </c>
      <c r="H77" s="701"/>
      <c r="I77" s="707">
        <v>95.8</v>
      </c>
      <c r="J77" s="701"/>
      <c r="K77" s="724">
        <f>0.00002*10^(I77/20)</f>
        <v>1.2331900037229651</v>
      </c>
      <c r="L77" s="11"/>
      <c r="M77" s="112" t="s">
        <v>724</v>
      </c>
      <c r="N77" s="11"/>
      <c r="O77" s="11"/>
      <c r="P77" s="11"/>
      <c r="Q77" s="471"/>
      <c r="R77" s="167" t="s">
        <v>400</v>
      </c>
      <c r="S77" s="469" t="s">
        <v>401</v>
      </c>
      <c r="T77" s="469" t="s">
        <v>402</v>
      </c>
      <c r="U77" s="12"/>
      <c r="V77" s="46"/>
    </row>
    <row r="78" spans="1:22">
      <c r="A78" s="46"/>
      <c r="B78" s="116"/>
      <c r="C78" s="66"/>
      <c r="D78" s="66"/>
      <c r="E78" s="69">
        <v>3</v>
      </c>
      <c r="F78" s="96">
        <v>25</v>
      </c>
      <c r="G78" s="698">
        <v>3.5</v>
      </c>
      <c r="H78" s="701"/>
      <c r="I78" s="708">
        <v>82.08</v>
      </c>
      <c r="J78" s="701"/>
      <c r="K78" s="724">
        <f>0.00002*10^(I78/20)</f>
        <v>0.25411482104170857</v>
      </c>
      <c r="L78" s="11"/>
      <c r="M78" s="11" t="s">
        <v>725</v>
      </c>
      <c r="N78" s="11"/>
      <c r="O78" s="11"/>
      <c r="P78" s="11"/>
      <c r="Q78" s="178">
        <v>271</v>
      </c>
      <c r="R78" s="179">
        <v>93.2</v>
      </c>
      <c r="S78" s="179">
        <v>95.8</v>
      </c>
      <c r="T78" s="179">
        <v>82</v>
      </c>
      <c r="U78" s="12"/>
      <c r="V78" s="46"/>
    </row>
    <row r="79" spans="1:22">
      <c r="A79" s="46"/>
      <c r="B79" s="116"/>
      <c r="C79" s="66"/>
      <c r="D79" s="66"/>
      <c r="E79" s="69">
        <v>4</v>
      </c>
      <c r="F79" s="96">
        <v>30</v>
      </c>
      <c r="G79" s="698">
        <v>1.2</v>
      </c>
      <c r="H79" s="17"/>
      <c r="I79" s="708">
        <f>I78-10*LOG10(F79/F78)</f>
        <v>81.288187539523747</v>
      </c>
      <c r="J79" s="701"/>
      <c r="K79" s="724">
        <f>0.00002*10^(I79/20)</f>
        <v>0.23197403280155368</v>
      </c>
      <c r="L79" s="11"/>
      <c r="M79" s="11" t="s">
        <v>726</v>
      </c>
      <c r="N79" s="11"/>
      <c r="O79" s="11"/>
      <c r="P79" s="11"/>
      <c r="Q79" s="178">
        <v>341</v>
      </c>
      <c r="R79" s="179">
        <v>96.5</v>
      </c>
      <c r="S79" s="179">
        <v>98</v>
      </c>
      <c r="T79" s="179">
        <v>85.5</v>
      </c>
      <c r="U79" s="12"/>
      <c r="V79" s="46"/>
    </row>
    <row r="80" spans="1:22">
      <c r="A80" s="46"/>
      <c r="B80" s="116"/>
      <c r="C80" s="76"/>
      <c r="D80" s="66"/>
      <c r="E80" s="139" t="s">
        <v>86</v>
      </c>
      <c r="F80" s="11"/>
      <c r="G80" s="11"/>
      <c r="H80" s="11"/>
      <c r="I80" s="11"/>
      <c r="J80" s="11"/>
      <c r="K80" s="11"/>
      <c r="L80" s="11"/>
      <c r="M80" s="18" t="s">
        <v>727</v>
      </c>
      <c r="N80" s="18"/>
      <c r="O80" s="18"/>
      <c r="P80" s="18"/>
      <c r="Q80" s="178">
        <v>386</v>
      </c>
      <c r="R80" s="179">
        <v>98.5</v>
      </c>
      <c r="S80" s="179">
        <v>100.1</v>
      </c>
      <c r="T80" s="179">
        <v>88.1</v>
      </c>
      <c r="U80" s="12"/>
      <c r="V80" s="46"/>
    </row>
    <row r="81" spans="1:22">
      <c r="A81" s="46"/>
      <c r="B81" s="119"/>
      <c r="C81" s="120"/>
      <c r="D81" s="137"/>
      <c r="E81" s="138"/>
      <c r="F81" s="18"/>
      <c r="G81" s="18"/>
      <c r="H81" s="18"/>
      <c r="I81" s="18"/>
      <c r="J81" s="18"/>
      <c r="K81" s="18"/>
      <c r="L81" s="18"/>
      <c r="M81" s="18"/>
      <c r="N81" s="18"/>
      <c r="O81" s="18"/>
      <c r="P81" s="18"/>
      <c r="Q81" s="18"/>
      <c r="R81" s="18"/>
      <c r="S81" s="18"/>
      <c r="T81" s="18"/>
      <c r="U81" s="19"/>
      <c r="V81" s="46"/>
    </row>
    <row r="82" spans="1:22">
      <c r="A82" s="46"/>
      <c r="B82" s="76"/>
      <c r="C82" s="76"/>
      <c r="D82" s="66"/>
      <c r="E82" s="139"/>
      <c r="F82" s="11"/>
      <c r="G82" s="11"/>
      <c r="H82" s="11"/>
      <c r="I82" s="11"/>
      <c r="J82" s="11"/>
      <c r="K82" s="11"/>
      <c r="L82" s="11"/>
      <c r="M82" s="11"/>
      <c r="N82" s="11"/>
      <c r="O82" s="11"/>
      <c r="P82" s="11"/>
      <c r="Q82" s="11"/>
      <c r="R82" s="11"/>
      <c r="S82" s="11"/>
      <c r="T82" s="11"/>
      <c r="U82" s="11"/>
      <c r="V82" s="46"/>
    </row>
    <row r="83" spans="1:22">
      <c r="A83" s="46"/>
      <c r="B83" s="132" t="s">
        <v>272</v>
      </c>
      <c r="C83" s="140"/>
      <c r="D83" s="133"/>
      <c r="E83" s="141"/>
      <c r="F83" s="8"/>
      <c r="G83" s="8"/>
      <c r="H83" s="8"/>
      <c r="I83" s="8"/>
      <c r="J83" s="8"/>
      <c r="K83" s="8"/>
      <c r="L83" s="8"/>
      <c r="M83" s="8"/>
      <c r="N83" s="8"/>
      <c r="O83" s="8"/>
      <c r="P83" s="8"/>
      <c r="Q83" s="8"/>
      <c r="R83" s="8"/>
      <c r="S83" s="8"/>
      <c r="T83" s="8"/>
      <c r="U83" s="9"/>
      <c r="V83" s="46"/>
    </row>
    <row r="84" spans="1:22" ht="16.5">
      <c r="A84" s="46"/>
      <c r="B84" s="116" t="s">
        <v>382</v>
      </c>
      <c r="C84" s="76"/>
      <c r="D84" s="66"/>
      <c r="E84" s="139"/>
      <c r="F84" s="11"/>
      <c r="G84" s="11"/>
      <c r="H84" s="158" t="s">
        <v>710</v>
      </c>
      <c r="I84" s="11" t="s">
        <v>737</v>
      </c>
      <c r="J84" s="11"/>
      <c r="K84" s="11"/>
      <c r="L84" s="11"/>
      <c r="M84" s="11"/>
      <c r="N84" s="11"/>
      <c r="O84" s="11"/>
      <c r="P84" s="11"/>
      <c r="Q84" s="11"/>
      <c r="R84" s="11"/>
      <c r="S84" s="11"/>
      <c r="T84" s="11"/>
      <c r="U84" s="12"/>
      <c r="V84" s="46"/>
    </row>
    <row r="85" spans="1:22" ht="16.5">
      <c r="A85" s="46"/>
      <c r="B85" s="145" t="s">
        <v>712</v>
      </c>
      <c r="C85" s="158"/>
      <c r="D85" s="200">
        <f>MAX('Passby Data Set 4'!D24:D94)</f>
        <v>94.7</v>
      </c>
      <c r="E85" s="143" t="s">
        <v>28</v>
      </c>
      <c r="F85" s="11" t="s">
        <v>273</v>
      </c>
      <c r="G85" s="11"/>
      <c r="H85" s="15">
        <v>35</v>
      </c>
      <c r="I85" s="11" t="s">
        <v>283</v>
      </c>
      <c r="K85" s="107">
        <v>2.7</v>
      </c>
      <c r="L85" s="11" t="s">
        <v>237</v>
      </c>
      <c r="M85" s="11"/>
      <c r="N85" s="11"/>
      <c r="O85" s="11"/>
      <c r="P85" s="11"/>
      <c r="Q85" s="11"/>
      <c r="R85" s="11"/>
      <c r="S85" s="11"/>
      <c r="T85" s="11"/>
      <c r="U85" s="12"/>
      <c r="V85" s="46"/>
    </row>
    <row r="86" spans="1:22">
      <c r="A86" s="46"/>
      <c r="B86" s="116"/>
      <c r="C86" s="76"/>
      <c r="D86" s="66"/>
      <c r="E86" s="143"/>
      <c r="F86" s="11"/>
      <c r="G86" s="11"/>
      <c r="H86" s="15"/>
      <c r="I86" s="11"/>
      <c r="J86" s="107"/>
      <c r="K86" s="11"/>
      <c r="L86" s="11"/>
      <c r="M86" s="11"/>
      <c r="N86" s="11"/>
      <c r="O86" s="11"/>
      <c r="P86" s="11"/>
      <c r="Q86" s="11"/>
      <c r="R86" s="11"/>
      <c r="S86" s="11"/>
      <c r="T86" s="11"/>
      <c r="U86" s="12"/>
      <c r="V86" s="46"/>
    </row>
    <row r="87" spans="1:22" ht="16.5">
      <c r="A87" s="46"/>
      <c r="B87" s="144" t="s">
        <v>274</v>
      </c>
      <c r="C87" s="76"/>
      <c r="D87" s="66"/>
      <c r="E87" s="143"/>
      <c r="F87" s="11"/>
      <c r="G87" s="11"/>
      <c r="H87" s="15"/>
      <c r="I87" s="11"/>
      <c r="J87" s="107"/>
      <c r="K87" s="11"/>
      <c r="L87" s="11"/>
      <c r="M87" s="11"/>
      <c r="N87" s="11"/>
      <c r="O87" s="11"/>
      <c r="P87" s="11"/>
      <c r="Q87" s="11"/>
      <c r="R87" s="11"/>
      <c r="S87" s="11"/>
      <c r="T87" s="11"/>
      <c r="U87" s="12"/>
      <c r="V87" s="46"/>
    </row>
    <row r="88" spans="1:22">
      <c r="A88" s="46"/>
      <c r="B88" s="145"/>
      <c r="C88" s="76"/>
      <c r="D88" s="66"/>
      <c r="E88" s="139"/>
      <c r="F88" s="11"/>
      <c r="G88" s="11"/>
      <c r="H88" s="11"/>
      <c r="I88" s="11"/>
      <c r="J88" s="11"/>
      <c r="K88" s="11"/>
      <c r="L88" s="11"/>
      <c r="M88" s="11" t="s">
        <v>190</v>
      </c>
      <c r="N88" s="11"/>
      <c r="O88" s="11"/>
      <c r="P88" s="11"/>
      <c r="Q88" s="11"/>
      <c r="R88" s="11"/>
      <c r="S88" s="11"/>
      <c r="T88" s="11"/>
      <c r="U88" s="12"/>
      <c r="V88" s="46"/>
    </row>
    <row r="89" spans="1:22" ht="16.5">
      <c r="A89" s="46"/>
      <c r="B89" s="116" t="s">
        <v>275</v>
      </c>
      <c r="C89" s="76"/>
      <c r="D89" s="66"/>
      <c r="E89" s="139"/>
      <c r="F89" s="11"/>
      <c r="G89" s="11"/>
      <c r="H89" s="11"/>
      <c r="I89" s="11"/>
      <c r="J89" s="11"/>
      <c r="K89" s="11"/>
      <c r="L89" s="11" t="s">
        <v>278</v>
      </c>
      <c r="M89" s="11"/>
      <c r="N89" s="11"/>
      <c r="O89" s="11"/>
      <c r="P89" s="11"/>
      <c r="Q89" s="11"/>
      <c r="R89" s="11"/>
      <c r="S89" s="11"/>
      <c r="T89" s="11"/>
      <c r="U89" s="12"/>
      <c r="V89" s="46"/>
    </row>
    <row r="90" spans="1:22">
      <c r="A90" s="46"/>
      <c r="B90" s="116"/>
      <c r="C90" s="76"/>
      <c r="D90" s="66"/>
      <c r="E90" s="139"/>
      <c r="F90" s="11"/>
      <c r="G90" s="11"/>
      <c r="H90" s="11"/>
      <c r="I90" s="11"/>
      <c r="J90" s="11"/>
      <c r="K90" s="11"/>
      <c r="L90" s="11" t="s">
        <v>279</v>
      </c>
      <c r="M90" s="11"/>
      <c r="N90" s="11"/>
      <c r="O90" s="11"/>
      <c r="P90" s="11"/>
      <c r="Q90" s="11"/>
      <c r="R90" s="11"/>
      <c r="S90" s="11"/>
      <c r="T90" s="11"/>
      <c r="U90" s="12"/>
      <c r="V90" s="46"/>
    </row>
    <row r="91" spans="1:22" ht="16.5">
      <c r="A91" s="46"/>
      <c r="B91" s="116" t="s">
        <v>276</v>
      </c>
      <c r="C91" s="76"/>
      <c r="D91" s="66"/>
      <c r="E91" s="139"/>
      <c r="F91" s="15">
        <v>1.9</v>
      </c>
      <c r="G91" s="11" t="s">
        <v>277</v>
      </c>
      <c r="H91" s="11">
        <v>2.9</v>
      </c>
      <c r="I91" s="11"/>
      <c r="J91" s="112" t="s">
        <v>284</v>
      </c>
      <c r="K91" s="112"/>
      <c r="L91" s="147">
        <f t="array" ref="L91">10*LOG(AVERAGE(10^('Passby Data Set 4'!$D$42:$D$62/10)))</f>
        <v>93.65138977070734</v>
      </c>
      <c r="M91" s="113" t="s">
        <v>28</v>
      </c>
      <c r="N91" s="51"/>
      <c r="O91" s="11"/>
      <c r="P91" s="11"/>
      <c r="Q91" s="11"/>
      <c r="R91" s="11"/>
      <c r="S91" s="11"/>
      <c r="T91" s="11"/>
      <c r="U91" s="12"/>
      <c r="V91" s="46"/>
    </row>
    <row r="92" spans="1:22" ht="16.5">
      <c r="A92" s="46"/>
      <c r="B92" s="116" t="s">
        <v>280</v>
      </c>
      <c r="C92" s="76"/>
      <c r="D92" s="66"/>
      <c r="E92" s="139"/>
      <c r="F92" s="11"/>
      <c r="G92" s="11"/>
      <c r="H92" s="11"/>
      <c r="I92" s="11"/>
      <c r="J92" s="11"/>
      <c r="K92" s="11"/>
      <c r="L92" s="11"/>
      <c r="M92" s="11"/>
      <c r="N92" s="11"/>
      <c r="O92" s="11"/>
      <c r="P92" s="11"/>
      <c r="Q92" s="11"/>
      <c r="R92" s="11"/>
      <c r="S92" s="11"/>
      <c r="T92" s="11"/>
      <c r="U92" s="12"/>
      <c r="V92" s="46"/>
    </row>
    <row r="93" spans="1:22" ht="16.5">
      <c r="A93" s="46"/>
      <c r="B93" s="119" t="s">
        <v>281</v>
      </c>
      <c r="C93" s="120"/>
      <c r="D93" s="137"/>
      <c r="E93" s="138"/>
      <c r="F93" s="18"/>
      <c r="G93" s="146">
        <v>2.6</v>
      </c>
      <c r="H93" s="108" t="s">
        <v>277</v>
      </c>
      <c r="I93" s="108">
        <v>2.7250000000000001</v>
      </c>
      <c r="J93" s="18"/>
      <c r="K93" s="148" t="s">
        <v>285</v>
      </c>
      <c r="L93" s="149">
        <f t="array" ref="L93">10*LOG(AVERAGE(10^('Passby Data Set 4'!$D$56:$D$59/10)))</f>
        <v>94.381567683175987</v>
      </c>
      <c r="M93" s="150" t="s">
        <v>28</v>
      </c>
      <c r="N93" s="18"/>
      <c r="O93" s="18"/>
      <c r="P93" s="18"/>
      <c r="Q93" s="18"/>
      <c r="R93" s="18"/>
      <c r="S93" s="18"/>
      <c r="T93" s="18"/>
      <c r="U93" s="19"/>
      <c r="V93" s="46"/>
    </row>
    <row r="94" spans="1:22">
      <c r="A94" s="46"/>
      <c r="B94" s="79"/>
      <c r="C94" s="79"/>
      <c r="D94" s="82"/>
      <c r="E94" s="126"/>
      <c r="F94" s="46"/>
      <c r="G94" s="46"/>
      <c r="H94" s="46"/>
      <c r="I94" s="46"/>
      <c r="J94" s="46"/>
      <c r="K94" s="46"/>
      <c r="L94" s="46"/>
      <c r="M94" s="46"/>
      <c r="N94" s="46"/>
      <c r="O94" s="46"/>
      <c r="P94" s="46"/>
      <c r="Q94" s="46"/>
      <c r="R94" s="46"/>
      <c r="S94" s="46"/>
      <c r="T94" s="46"/>
      <c r="U94" s="46"/>
      <c r="V94" s="46"/>
    </row>
    <row r="95" spans="1:22">
      <c r="A95" s="46"/>
      <c r="B95" s="132" t="s">
        <v>286</v>
      </c>
      <c r="C95" s="140"/>
      <c r="D95" s="133"/>
      <c r="E95" s="141"/>
      <c r="F95" s="8"/>
      <c r="G95" s="8"/>
      <c r="H95" s="8"/>
      <c r="I95" s="8"/>
      <c r="J95" s="8"/>
      <c r="K95" s="8"/>
      <c r="L95" s="8"/>
      <c r="M95" s="8"/>
      <c r="N95" s="8"/>
      <c r="O95" s="8"/>
      <c r="P95" s="8"/>
      <c r="Q95" s="8"/>
      <c r="R95" s="8"/>
      <c r="S95" s="8"/>
      <c r="T95" s="8"/>
      <c r="U95" s="9"/>
      <c r="V95" s="46"/>
    </row>
    <row r="96" spans="1:22">
      <c r="A96" s="46"/>
      <c r="B96" s="116" t="s">
        <v>382</v>
      </c>
      <c r="C96" s="76"/>
      <c r="D96" s="66"/>
      <c r="E96" s="139"/>
      <c r="F96" s="11"/>
      <c r="G96" s="11"/>
      <c r="H96" s="11"/>
      <c r="I96" s="11"/>
      <c r="J96" s="11"/>
      <c r="K96" s="11"/>
      <c r="L96" s="11"/>
      <c r="M96" s="11"/>
      <c r="N96" s="11"/>
      <c r="O96" s="11"/>
      <c r="P96" s="11"/>
      <c r="Q96" s="11"/>
      <c r="R96" s="11"/>
      <c r="S96" s="11"/>
      <c r="T96" s="11"/>
      <c r="U96" s="12"/>
      <c r="V96" s="46"/>
    </row>
    <row r="97" spans="1:22" ht="15">
      <c r="A97" s="46"/>
      <c r="B97" s="155" t="s">
        <v>793</v>
      </c>
      <c r="C97" s="160"/>
      <c r="D97" s="66"/>
      <c r="E97" s="11"/>
      <c r="F97" s="11"/>
      <c r="G97" s="11"/>
      <c r="H97" s="11"/>
      <c r="I97" s="11"/>
      <c r="J97" s="11"/>
      <c r="K97" s="11"/>
      <c r="L97" s="11"/>
      <c r="M97" s="11"/>
      <c r="N97" s="11"/>
      <c r="O97" s="11"/>
      <c r="P97" s="11"/>
      <c r="Q97" s="11"/>
      <c r="R97" s="11"/>
      <c r="S97" s="11"/>
      <c r="T97" s="11"/>
      <c r="U97" s="12"/>
      <c r="V97" s="46"/>
    </row>
    <row r="98" spans="1:22">
      <c r="A98" s="46"/>
      <c r="B98" s="155" t="s">
        <v>294</v>
      </c>
      <c r="C98" s="160"/>
      <c r="D98" s="66"/>
      <c r="E98" s="11"/>
      <c r="F98" s="11"/>
      <c r="G98" s="11"/>
      <c r="H98" s="11"/>
      <c r="I98" s="11"/>
      <c r="J98" s="11"/>
      <c r="K98" s="11"/>
      <c r="L98" s="11"/>
      <c r="M98" s="11"/>
      <c r="N98" s="11"/>
      <c r="O98" s="11"/>
      <c r="P98" s="11"/>
      <c r="Q98" s="11"/>
      <c r="R98" s="11"/>
      <c r="S98" s="11"/>
      <c r="T98" s="11"/>
      <c r="U98" s="12"/>
      <c r="V98" s="46"/>
    </row>
    <row r="99" spans="1:22">
      <c r="A99" s="46"/>
      <c r="B99" s="116" t="s">
        <v>234</v>
      </c>
      <c r="C99" s="117"/>
      <c r="D99" s="76"/>
      <c r="E99" s="85"/>
      <c r="F99" s="11"/>
      <c r="G99" s="11"/>
      <c r="H99" s="11"/>
      <c r="I99" s="15">
        <v>1</v>
      </c>
      <c r="J99" s="15" t="s">
        <v>238</v>
      </c>
      <c r="K99" s="11"/>
      <c r="L99" s="11"/>
      <c r="M99" s="11"/>
      <c r="N99" s="11"/>
      <c r="O99" s="11"/>
      <c r="P99" s="11"/>
      <c r="Q99" s="11"/>
      <c r="R99" s="11"/>
      <c r="S99" s="11"/>
      <c r="T99" s="11"/>
      <c r="U99" s="12"/>
      <c r="V99" s="46"/>
    </row>
    <row r="100" spans="1:22" ht="16.5">
      <c r="A100" s="46"/>
      <c r="B100" s="116" t="s">
        <v>235</v>
      </c>
      <c r="C100" s="66"/>
      <c r="D100" s="76"/>
      <c r="E100" s="85"/>
      <c r="F100" s="11"/>
      <c r="G100" s="11"/>
      <c r="H100" s="11"/>
      <c r="I100" s="15">
        <v>71</v>
      </c>
      <c r="J100" s="15" t="s">
        <v>239</v>
      </c>
      <c r="K100" s="11" t="s">
        <v>240</v>
      </c>
      <c r="L100" s="11"/>
      <c r="M100" s="11"/>
      <c r="N100" s="118">
        <f>(SUM(F38:F55)+SUM(K38:K55)+SUM(P38:P55)+SUM(U38:U54))*$P$32</f>
        <v>6588627340.4020205</v>
      </c>
      <c r="O100" s="11"/>
      <c r="P100" s="11" t="s">
        <v>296</v>
      </c>
      <c r="Q100" s="107">
        <f>R54-C38</f>
        <v>3.5</v>
      </c>
      <c r="R100" s="11" t="s">
        <v>237</v>
      </c>
      <c r="S100" s="11"/>
      <c r="T100" s="11"/>
      <c r="U100" s="12"/>
      <c r="V100" s="46"/>
    </row>
    <row r="101" spans="1:22">
      <c r="A101" s="46"/>
      <c r="B101" s="116"/>
      <c r="C101" s="66"/>
      <c r="D101" s="76"/>
      <c r="E101" s="85"/>
      <c r="F101" s="11"/>
      <c r="G101" s="11"/>
      <c r="H101" s="11"/>
      <c r="I101" s="15"/>
      <c r="J101" s="15"/>
      <c r="K101" s="11"/>
      <c r="L101" s="11"/>
      <c r="M101" s="11"/>
      <c r="N101" s="118"/>
      <c r="O101" s="11"/>
      <c r="P101" s="11"/>
      <c r="Q101" s="11"/>
      <c r="R101" s="11"/>
      <c r="S101" s="11"/>
      <c r="T101" s="11"/>
      <c r="U101" s="12"/>
      <c r="V101" s="46"/>
    </row>
    <row r="102" spans="1:22">
      <c r="A102" s="46"/>
      <c r="B102" s="116"/>
      <c r="C102" s="66"/>
      <c r="D102" s="76"/>
      <c r="E102" s="85"/>
      <c r="F102" s="11"/>
      <c r="G102" s="11"/>
      <c r="H102" s="11"/>
      <c r="I102" s="11"/>
      <c r="J102" s="11"/>
      <c r="K102" s="11"/>
      <c r="L102" s="11"/>
      <c r="M102" s="11"/>
      <c r="N102" s="11"/>
      <c r="O102" s="11"/>
      <c r="P102" s="46"/>
      <c r="Q102" s="11"/>
      <c r="R102" s="11"/>
      <c r="S102" s="11"/>
      <c r="T102" s="11"/>
      <c r="U102" s="12"/>
      <c r="V102" s="46"/>
    </row>
    <row r="103" spans="1:22" ht="16.5">
      <c r="A103" s="46"/>
      <c r="B103" s="116" t="s">
        <v>794</v>
      </c>
      <c r="C103" s="66"/>
      <c r="D103" s="76"/>
      <c r="E103" s="85"/>
      <c r="F103" s="158" t="s">
        <v>297</v>
      </c>
      <c r="G103" s="147">
        <f>10*LOG10((1/Q100)*N100)</f>
        <v>92.747268997454512</v>
      </c>
      <c r="H103" s="113" t="s">
        <v>28</v>
      </c>
      <c r="I103" s="11"/>
      <c r="J103" s="11"/>
      <c r="K103" s="11"/>
      <c r="L103" s="11"/>
      <c r="M103" s="11"/>
      <c r="N103" s="11"/>
      <c r="O103" s="11"/>
      <c r="P103" s="46"/>
      <c r="Q103" s="11"/>
      <c r="R103" s="11"/>
      <c r="S103" s="11"/>
      <c r="T103" s="11"/>
      <c r="U103" s="12"/>
      <c r="V103" s="46"/>
    </row>
    <row r="104" spans="1:22">
      <c r="A104" s="46"/>
      <c r="B104" s="116"/>
      <c r="C104" s="66"/>
      <c r="D104" s="66"/>
      <c r="E104" s="85"/>
      <c r="F104" s="11"/>
      <c r="G104" s="11"/>
      <c r="H104" s="11"/>
      <c r="I104" s="11"/>
      <c r="J104" s="11"/>
      <c r="K104" s="11"/>
      <c r="L104" s="11"/>
      <c r="M104" s="11"/>
      <c r="N104" s="11"/>
      <c r="O104" s="11"/>
      <c r="P104" s="46"/>
      <c r="Q104" s="11"/>
      <c r="R104" s="11"/>
      <c r="S104" s="11"/>
      <c r="T104" s="11"/>
      <c r="U104" s="12"/>
      <c r="V104" s="46"/>
    </row>
    <row r="105" spans="1:22">
      <c r="A105" s="46"/>
      <c r="B105" s="116"/>
      <c r="C105" s="76"/>
      <c r="D105" s="159"/>
      <c r="E105" s="85"/>
      <c r="F105" s="11"/>
      <c r="G105" s="11"/>
      <c r="H105" s="11"/>
      <c r="I105" s="11"/>
      <c r="J105" s="11"/>
      <c r="K105" s="11"/>
      <c r="L105" s="11"/>
      <c r="M105" s="11"/>
      <c r="N105" s="11"/>
      <c r="O105" s="11"/>
      <c r="Q105" s="11"/>
      <c r="R105" s="11"/>
      <c r="S105" s="11"/>
      <c r="T105" s="11"/>
      <c r="U105" s="12"/>
      <c r="V105" s="46"/>
    </row>
    <row r="106" spans="1:22" ht="16.5">
      <c r="A106" s="46"/>
      <c r="B106" s="116" t="s">
        <v>301</v>
      </c>
      <c r="C106" s="160"/>
      <c r="D106" s="66"/>
      <c r="E106" s="109" t="s">
        <v>302</v>
      </c>
      <c r="F106" s="11"/>
      <c r="G106" s="11"/>
      <c r="H106" s="11"/>
      <c r="I106" s="11"/>
      <c r="J106" s="11"/>
      <c r="K106" s="11"/>
      <c r="L106" s="11"/>
      <c r="M106" s="11"/>
      <c r="N106" s="11"/>
      <c r="O106" s="11"/>
      <c r="P106" s="11"/>
      <c r="Q106" s="11"/>
      <c r="R106" s="11"/>
      <c r="S106" s="11"/>
      <c r="T106" s="11"/>
      <c r="U106" s="12"/>
      <c r="V106" s="46"/>
    </row>
    <row r="107" spans="1:22" ht="16.5">
      <c r="A107" s="46"/>
      <c r="B107" s="116"/>
      <c r="C107" s="160"/>
      <c r="D107" s="66"/>
      <c r="E107" s="109" t="s">
        <v>384</v>
      </c>
      <c r="F107" s="11"/>
      <c r="G107" s="11"/>
      <c r="H107" s="11"/>
      <c r="I107" s="11" t="s">
        <v>304</v>
      </c>
      <c r="J107" s="11"/>
      <c r="K107" s="11"/>
      <c r="L107" s="112" t="s">
        <v>305</v>
      </c>
      <c r="M107" s="147">
        <f>G61+10*LOG10(D17/D15)</f>
        <v>93.937462985570946</v>
      </c>
      <c r="N107" s="113" t="s">
        <v>28</v>
      </c>
      <c r="O107" s="11"/>
      <c r="P107" s="11"/>
      <c r="Q107" s="11"/>
      <c r="R107" s="11"/>
      <c r="S107" s="11"/>
      <c r="T107" s="11"/>
      <c r="U107" s="12"/>
      <c r="V107" s="46"/>
    </row>
    <row r="108" spans="1:22" ht="16.5">
      <c r="A108" s="46"/>
      <c r="B108" s="116" t="s">
        <v>306</v>
      </c>
      <c r="C108" s="160"/>
      <c r="D108" s="66"/>
      <c r="E108" s="109" t="s">
        <v>307</v>
      </c>
      <c r="F108" s="11"/>
      <c r="G108" s="11"/>
      <c r="H108" s="11"/>
      <c r="I108" s="11"/>
      <c r="J108" s="11"/>
      <c r="K108" s="11"/>
      <c r="L108" s="11"/>
      <c r="M108" s="11"/>
      <c r="N108" s="11"/>
      <c r="O108" s="11"/>
      <c r="P108" s="11"/>
      <c r="Q108" s="11"/>
      <c r="R108" s="11"/>
      <c r="S108" s="11"/>
      <c r="T108" s="11"/>
      <c r="U108" s="12"/>
      <c r="V108" s="46"/>
    </row>
    <row r="109" spans="1:22" ht="16.5">
      <c r="A109" s="46"/>
      <c r="B109" s="116"/>
      <c r="C109" s="160"/>
      <c r="D109" s="66"/>
      <c r="E109" s="162" t="s">
        <v>308</v>
      </c>
      <c r="F109" s="147">
        <f>G61+10*LOG10(D15)+1</f>
        <v>98.373227313509133</v>
      </c>
      <c r="G109" s="112" t="s">
        <v>28</v>
      </c>
      <c r="H109" s="112"/>
      <c r="I109" s="112" t="s">
        <v>343</v>
      </c>
      <c r="J109" s="147">
        <f>F109-10*LOG10(7.5/30)</f>
        <v>104.39382722678876</v>
      </c>
      <c r="K109" s="112" t="s">
        <v>28</v>
      </c>
      <c r="L109" s="112" t="s">
        <v>398</v>
      </c>
      <c r="M109" s="147">
        <f>F109-10*LOG10(25/30)</f>
        <v>99.165039773985384</v>
      </c>
      <c r="N109" s="211" t="s">
        <v>28</v>
      </c>
      <c r="O109" s="11" t="s">
        <v>309</v>
      </c>
      <c r="P109" s="11"/>
      <c r="Q109" s="11"/>
      <c r="R109" s="11" t="s">
        <v>310</v>
      </c>
      <c r="S109" s="11"/>
      <c r="T109" s="11"/>
      <c r="U109" s="12"/>
      <c r="V109" s="46"/>
    </row>
    <row r="110" spans="1:22">
      <c r="A110" s="46"/>
      <c r="B110" s="116"/>
      <c r="C110" s="160"/>
      <c r="D110" s="66"/>
      <c r="E110" s="109" t="s">
        <v>311</v>
      </c>
      <c r="F110" s="11"/>
      <c r="G110" s="11"/>
      <c r="H110" s="11"/>
      <c r="I110" s="11"/>
      <c r="J110" s="11"/>
      <c r="K110" s="11"/>
      <c r="L110" s="11"/>
      <c r="M110" s="11"/>
      <c r="N110" s="11"/>
      <c r="O110" s="11"/>
      <c r="P110" s="11"/>
      <c r="Q110" s="11"/>
      <c r="R110" s="11"/>
      <c r="S110" s="11"/>
      <c r="T110" s="11"/>
      <c r="U110" s="12"/>
      <c r="V110" s="46"/>
    </row>
    <row r="111" spans="1:22">
      <c r="A111" s="46"/>
      <c r="B111" s="116"/>
      <c r="C111" s="160"/>
      <c r="D111" s="66"/>
      <c r="E111" s="109" t="s">
        <v>312</v>
      </c>
      <c r="F111" s="11"/>
      <c r="G111" s="11"/>
      <c r="H111" s="11"/>
      <c r="I111" s="11"/>
      <c r="J111" s="11"/>
      <c r="K111" s="11"/>
      <c r="L111" s="11"/>
      <c r="M111" s="11"/>
      <c r="N111" s="11"/>
      <c r="O111" s="11"/>
      <c r="P111" s="11"/>
      <c r="Q111" s="11"/>
      <c r="R111" s="11"/>
      <c r="S111" s="11"/>
      <c r="T111" s="11"/>
      <c r="U111" s="12"/>
      <c r="V111" s="46"/>
    </row>
    <row r="112" spans="1:22">
      <c r="A112" s="46"/>
      <c r="B112" s="145" t="s">
        <v>313</v>
      </c>
      <c r="C112" s="160"/>
      <c r="D112" s="66"/>
      <c r="E112" s="109"/>
      <c r="F112" s="11"/>
      <c r="G112" s="11"/>
      <c r="H112" s="11"/>
      <c r="I112" s="11"/>
      <c r="J112" s="11"/>
      <c r="K112" s="11"/>
      <c r="L112" s="11"/>
      <c r="M112" s="11"/>
      <c r="N112" s="11"/>
      <c r="O112" s="11"/>
      <c r="P112" s="11"/>
      <c r="Q112" s="11"/>
      <c r="R112" s="11"/>
      <c r="S112" s="11"/>
      <c r="T112" s="11"/>
      <c r="U112" s="12"/>
      <c r="V112" s="46"/>
    </row>
    <row r="113" spans="1:22">
      <c r="A113" s="46"/>
      <c r="B113" s="116" t="s">
        <v>321</v>
      </c>
      <c r="C113" s="160"/>
      <c r="D113" s="66"/>
      <c r="E113" s="109"/>
      <c r="F113" s="11"/>
      <c r="G113" s="11"/>
      <c r="H113" s="11"/>
      <c r="I113" s="11"/>
      <c r="J113" s="11"/>
      <c r="K113" s="11"/>
      <c r="L113" s="11"/>
      <c r="M113" s="11"/>
      <c r="N113" s="11"/>
      <c r="O113" s="11"/>
      <c r="P113" s="11"/>
      <c r="Q113" s="11"/>
      <c r="R113" s="11"/>
      <c r="S113" s="11"/>
      <c r="T113" s="11"/>
      <c r="U113" s="12"/>
      <c r="V113" s="46"/>
    </row>
    <row r="114" spans="1:22">
      <c r="A114" s="46"/>
      <c r="B114" s="116"/>
      <c r="C114" s="40" t="s">
        <v>325</v>
      </c>
      <c r="D114" s="66"/>
      <c r="E114" s="109"/>
      <c r="F114" s="11"/>
      <c r="G114" s="11"/>
      <c r="H114" s="11"/>
      <c r="I114" s="11"/>
      <c r="J114" s="11"/>
      <c r="K114" s="11"/>
      <c r="L114" s="11"/>
      <c r="M114" s="11"/>
      <c r="N114" s="11"/>
      <c r="O114" s="11"/>
      <c r="P114" s="11"/>
      <c r="Q114" s="11"/>
      <c r="R114" s="11"/>
      <c r="S114" s="11"/>
      <c r="T114" s="11"/>
      <c r="U114" s="12"/>
      <c r="V114" s="46"/>
    </row>
    <row r="115" spans="1:22" ht="16.5">
      <c r="A115" s="46"/>
      <c r="B115" s="116" t="s">
        <v>314</v>
      </c>
      <c r="C115" s="160"/>
      <c r="D115" s="66"/>
      <c r="E115" s="109"/>
      <c r="F115" s="11"/>
      <c r="G115" s="11"/>
      <c r="H115" s="11"/>
      <c r="I115" s="11"/>
      <c r="J115" s="11"/>
      <c r="K115" s="11"/>
      <c r="L115" s="11"/>
      <c r="M115" s="11"/>
      <c r="N115" s="11"/>
      <c r="O115" s="11"/>
      <c r="P115" s="112" t="s">
        <v>315</v>
      </c>
      <c r="Q115" s="147">
        <f>PERCENTILE('Passby Data Set 4'!D24:D94,0.1)</f>
        <v>83.2</v>
      </c>
      <c r="R115" s="112" t="s">
        <v>28</v>
      </c>
      <c r="S115" s="11"/>
      <c r="T115" s="11"/>
      <c r="U115" s="12"/>
      <c r="V115" s="46"/>
    </row>
    <row r="116" spans="1:22" ht="16.5">
      <c r="A116" s="46"/>
      <c r="B116" s="116" t="s">
        <v>316</v>
      </c>
      <c r="C116" s="160"/>
      <c r="D116" s="66"/>
      <c r="E116" s="109"/>
      <c r="F116" s="11"/>
      <c r="G116" s="11"/>
      <c r="H116" s="11"/>
      <c r="I116" s="11"/>
      <c r="J116" s="11"/>
      <c r="K116" s="11"/>
      <c r="L116" s="11"/>
      <c r="M116" s="11"/>
      <c r="N116" s="11"/>
      <c r="O116" s="11"/>
      <c r="P116" s="112" t="s">
        <v>317</v>
      </c>
      <c r="Q116" s="147">
        <f>PERCENTILE('Passby Data Set 4'!D24:D94,0.5)</f>
        <v>93.4</v>
      </c>
      <c r="R116" s="112" t="s">
        <v>28</v>
      </c>
      <c r="S116" s="11"/>
      <c r="T116" s="11"/>
      <c r="U116" s="12"/>
      <c r="V116" s="46"/>
    </row>
    <row r="117" spans="1:22" ht="16.5">
      <c r="A117" s="46"/>
      <c r="B117" s="119" t="s">
        <v>318</v>
      </c>
      <c r="C117" s="170"/>
      <c r="D117" s="137"/>
      <c r="E117" s="171"/>
      <c r="F117" s="18"/>
      <c r="G117" s="18"/>
      <c r="H117" s="18"/>
      <c r="I117" s="18"/>
      <c r="J117" s="18"/>
      <c r="K117" s="18"/>
      <c r="L117" s="18"/>
      <c r="M117" s="18"/>
      <c r="N117" s="18"/>
      <c r="O117" s="18"/>
      <c r="P117" s="148" t="s">
        <v>319</v>
      </c>
      <c r="Q117" s="149">
        <f>PERCENTILE('Passby Data Set 4'!D24:D94,0.9)</f>
        <v>94.1</v>
      </c>
      <c r="R117" s="148" t="s">
        <v>28</v>
      </c>
      <c r="S117" s="18"/>
      <c r="T117" s="18"/>
      <c r="U117" s="19"/>
      <c r="V117" s="46"/>
    </row>
    <row r="118" spans="1:22">
      <c r="A118" s="46"/>
      <c r="B118" s="76"/>
      <c r="C118" s="160"/>
      <c r="D118" s="66"/>
      <c r="E118" s="109"/>
      <c r="F118" s="11"/>
      <c r="G118" s="11"/>
      <c r="H118" s="11"/>
      <c r="I118" s="11"/>
      <c r="J118" s="11"/>
      <c r="K118" s="11"/>
      <c r="L118" s="11"/>
      <c r="M118" s="11"/>
      <c r="N118" s="11"/>
      <c r="O118" s="46"/>
      <c r="P118" s="168"/>
      <c r="Q118" s="169"/>
      <c r="R118" s="168"/>
      <c r="S118" s="46"/>
      <c r="T118" s="46"/>
      <c r="U118" s="46"/>
      <c r="V118" s="46"/>
    </row>
    <row r="119" spans="1:22">
      <c r="A119" s="46"/>
      <c r="B119" s="132" t="s">
        <v>799</v>
      </c>
      <c r="C119" s="181"/>
      <c r="D119" s="133"/>
      <c r="E119" s="182"/>
      <c r="F119" s="8"/>
      <c r="G119" s="8"/>
      <c r="H119" s="8"/>
      <c r="I119" s="8"/>
      <c r="J119" s="8"/>
      <c r="K119" s="8"/>
      <c r="L119" s="8"/>
      <c r="M119" s="8"/>
      <c r="N119" s="8"/>
      <c r="O119" s="8"/>
      <c r="P119" s="47"/>
      <c r="Q119" s="183"/>
      <c r="R119" s="47"/>
      <c r="S119" s="8"/>
      <c r="T119" s="8"/>
      <c r="U119" s="9"/>
      <c r="V119" s="46"/>
    </row>
    <row r="120" spans="1:22" ht="16.5">
      <c r="A120" s="46"/>
      <c r="B120" s="116" t="s">
        <v>346</v>
      </c>
      <c r="C120" s="160"/>
      <c r="D120" s="66"/>
      <c r="E120" s="109"/>
      <c r="F120" s="11"/>
      <c r="G120" s="11"/>
      <c r="H120" s="11"/>
      <c r="I120" s="15">
        <f>D13</f>
        <v>271</v>
      </c>
      <c r="J120" s="11" t="s">
        <v>19</v>
      </c>
      <c r="K120" s="11" t="s">
        <v>357</v>
      </c>
      <c r="L120" s="11"/>
      <c r="M120" s="11"/>
      <c r="N120" s="11"/>
      <c r="O120" s="11"/>
      <c r="P120" s="112"/>
      <c r="Q120" s="147"/>
      <c r="R120" s="112"/>
      <c r="S120" s="11"/>
      <c r="T120" s="11"/>
      <c r="U120" s="12"/>
      <c r="V120" s="46"/>
    </row>
    <row r="121" spans="1:22">
      <c r="A121" s="46"/>
      <c r="B121" s="116"/>
      <c r="C121" s="177"/>
      <c r="D121" s="66"/>
      <c r="E121" s="109"/>
      <c r="F121" s="11"/>
      <c r="G121" s="11"/>
      <c r="H121" s="11"/>
      <c r="I121" s="11"/>
      <c r="J121" s="11"/>
      <c r="K121" s="11"/>
      <c r="L121" s="11"/>
      <c r="M121" s="11"/>
      <c r="N121" s="11"/>
      <c r="O121" s="11"/>
      <c r="P121" s="112"/>
      <c r="Q121" s="147"/>
      <c r="R121" s="112"/>
      <c r="S121" s="11"/>
      <c r="T121" s="11"/>
      <c r="U121" s="12"/>
      <c r="V121" s="46"/>
    </row>
    <row r="122" spans="1:22" ht="31.5" customHeight="1">
      <c r="A122" s="46"/>
      <c r="B122" s="116"/>
      <c r="C122" s="160"/>
      <c r="D122" s="379" t="s">
        <v>40</v>
      </c>
      <c r="E122" s="540" t="s">
        <v>349</v>
      </c>
      <c r="F122" s="501"/>
      <c r="G122" s="454"/>
      <c r="H122" s="455"/>
      <c r="I122" s="455"/>
      <c r="J122" s="455"/>
      <c r="K122" s="455"/>
      <c r="L122" s="455"/>
      <c r="M122" s="455"/>
      <c r="N122" s="457"/>
      <c r="O122" s="11"/>
      <c r="P122" s="544" t="s">
        <v>404</v>
      </c>
      <c r="Q122" s="513"/>
      <c r="R122" s="513"/>
      <c r="S122" s="514"/>
      <c r="T122" s="11"/>
      <c r="U122" s="12"/>
      <c r="V122" s="46"/>
    </row>
    <row r="123" spans="1:22" ht="16.5">
      <c r="A123" s="46"/>
      <c r="B123" s="116"/>
      <c r="C123" s="160"/>
      <c r="D123" s="408"/>
      <c r="E123" s="394" t="s">
        <v>350</v>
      </c>
      <c r="F123" s="351" t="s">
        <v>713</v>
      </c>
      <c r="G123" s="5" t="s">
        <v>351</v>
      </c>
      <c r="H123" s="461" t="s">
        <v>352</v>
      </c>
      <c r="I123" s="461" t="s">
        <v>353</v>
      </c>
      <c r="J123" s="461" t="s">
        <v>347</v>
      </c>
      <c r="K123" s="461" t="s">
        <v>348</v>
      </c>
      <c r="L123" s="461" t="s">
        <v>354</v>
      </c>
      <c r="M123" s="461" t="s">
        <v>355</v>
      </c>
      <c r="N123" s="5" t="s">
        <v>356</v>
      </c>
      <c r="O123" s="11"/>
      <c r="P123" s="592" t="s">
        <v>399</v>
      </c>
      <c r="Q123" s="398" t="s">
        <v>400</v>
      </c>
      <c r="R123" s="398" t="s">
        <v>401</v>
      </c>
      <c r="S123" s="398" t="s">
        <v>402</v>
      </c>
      <c r="T123" s="11"/>
      <c r="U123" s="12"/>
      <c r="V123" s="46"/>
    </row>
    <row r="124" spans="1:22">
      <c r="A124" s="46"/>
      <c r="B124" s="116"/>
      <c r="C124" s="160"/>
      <c r="D124" s="231">
        <v>1</v>
      </c>
      <c r="E124" s="179">
        <f>G61</f>
        <v>93.129595257940508</v>
      </c>
      <c r="F124" s="179">
        <f>D85</f>
        <v>94.7</v>
      </c>
      <c r="G124" s="179">
        <f>L91</f>
        <v>93.65138977070734</v>
      </c>
      <c r="H124" s="179">
        <f>L93</f>
        <v>94.381567683175987</v>
      </c>
      <c r="I124" s="179">
        <f>G103</f>
        <v>92.747268997454512</v>
      </c>
      <c r="J124" s="179">
        <f>M107</f>
        <v>93.937462985570946</v>
      </c>
      <c r="K124" s="179">
        <f>J109</f>
        <v>104.39382722678876</v>
      </c>
      <c r="L124" s="179">
        <f>Q115</f>
        <v>83.2</v>
      </c>
      <c r="M124" s="179">
        <f>Q116</f>
        <v>93.4</v>
      </c>
      <c r="N124" s="179">
        <f>Q117</f>
        <v>94.1</v>
      </c>
      <c r="O124" s="11"/>
      <c r="P124" s="595"/>
      <c r="Q124" s="512"/>
      <c r="R124" s="512"/>
      <c r="S124" s="471"/>
      <c r="T124" s="11"/>
      <c r="U124" s="12"/>
      <c r="V124" s="46"/>
    </row>
    <row r="125" spans="1:22">
      <c r="A125" s="46"/>
      <c r="B125" s="116"/>
      <c r="C125" s="160"/>
      <c r="D125" s="175">
        <v>2</v>
      </c>
      <c r="E125" s="179">
        <f>E124*$R$125</f>
        <v>95.727631177153441</v>
      </c>
      <c r="F125" s="179">
        <f t="shared" ref="F125:N125" si="8">F124*$R$125</f>
        <v>97.341845493562232</v>
      </c>
      <c r="G125" s="179">
        <f t="shared" si="8"/>
        <v>96.263982189203475</v>
      </c>
      <c r="H125" s="179">
        <f t="shared" si="8"/>
        <v>97.014529871762448</v>
      </c>
      <c r="I125" s="179">
        <f t="shared" si="8"/>
        <v>95.334639162619553</v>
      </c>
      <c r="J125" s="179">
        <f t="shared" si="8"/>
        <v>96.558035987314341</v>
      </c>
      <c r="K125" s="179">
        <f t="shared" si="8"/>
        <v>107.30610137689231</v>
      </c>
      <c r="L125" s="179">
        <f t="shared" si="8"/>
        <v>85.521030042918454</v>
      </c>
      <c r="M125" s="179">
        <f t="shared" si="8"/>
        <v>96.005579399141638</v>
      </c>
      <c r="N125" s="179">
        <f t="shared" si="8"/>
        <v>96.725107296137338</v>
      </c>
      <c r="O125" s="11"/>
      <c r="P125" s="593">
        <v>271</v>
      </c>
      <c r="Q125" s="594">
        <f>R78/$R$78</f>
        <v>1</v>
      </c>
      <c r="R125" s="594">
        <f t="shared" ref="R125:S125" si="9">S78/$R$78</f>
        <v>1.0278969957081545</v>
      </c>
      <c r="S125" s="594">
        <f t="shared" si="9"/>
        <v>0.87982832618025753</v>
      </c>
      <c r="T125" s="11"/>
      <c r="U125" s="12"/>
      <c r="V125" s="46"/>
    </row>
    <row r="126" spans="1:22">
      <c r="A126" s="46"/>
      <c r="B126" s="116"/>
      <c r="C126" s="160"/>
      <c r="D126" s="175">
        <v>3</v>
      </c>
      <c r="E126" s="179">
        <f>E124*$S$125</f>
        <v>81.938055913638649</v>
      </c>
      <c r="F126" s="179">
        <f t="shared" ref="F126:N126" si="10">F124*$S$125</f>
        <v>83.319742489270396</v>
      </c>
      <c r="G126" s="179">
        <f t="shared" si="10"/>
        <v>82.397145506416337</v>
      </c>
      <c r="H126" s="179">
        <f t="shared" si="10"/>
        <v>83.039576716957413</v>
      </c>
      <c r="I126" s="179">
        <f t="shared" si="10"/>
        <v>81.601674439820499</v>
      </c>
      <c r="J126" s="179">
        <f t="shared" si="10"/>
        <v>82.648840824214787</v>
      </c>
      <c r="K126" s="179">
        <f t="shared" si="10"/>
        <v>91.848646272496552</v>
      </c>
      <c r="L126" s="179">
        <f t="shared" si="10"/>
        <v>73.201716738197433</v>
      </c>
      <c r="M126" s="179">
        <f t="shared" si="10"/>
        <v>82.175965665236063</v>
      </c>
      <c r="N126" s="179">
        <f t="shared" si="10"/>
        <v>82.791845493562235</v>
      </c>
      <c r="O126" s="11"/>
      <c r="P126" s="217">
        <v>341</v>
      </c>
      <c r="Q126" s="219">
        <f t="shared" ref="Q126:S127" si="11">R79/$R$78</f>
        <v>1.0354077253218883</v>
      </c>
      <c r="R126" s="219">
        <f t="shared" si="11"/>
        <v>1.0515021459227467</v>
      </c>
      <c r="S126" s="219">
        <f t="shared" si="11"/>
        <v>0.91738197424892698</v>
      </c>
      <c r="T126" s="11"/>
      <c r="U126" s="12"/>
      <c r="V126" s="46"/>
    </row>
    <row r="127" spans="1:22">
      <c r="A127" s="46"/>
      <c r="B127" s="116"/>
      <c r="C127" s="160"/>
      <c r="D127" s="175">
        <v>4</v>
      </c>
      <c r="E127" s="179">
        <f>$E$126-10*LOG10(30/25)</f>
        <v>81.146243453162398</v>
      </c>
      <c r="F127" s="179">
        <f>$F$126-10*LOG10(30/25)</f>
        <v>82.527930028794145</v>
      </c>
      <c r="G127" s="179">
        <f>$G$126-10*LOG10(30/25)</f>
        <v>81.605333045940085</v>
      </c>
      <c r="H127" s="179">
        <f>$H$126-10*LOG10(30/25)</f>
        <v>82.247764256481162</v>
      </c>
      <c r="I127" s="179">
        <f>$I$126-10*LOG10(30/25)</f>
        <v>80.809861979344248</v>
      </c>
      <c r="J127" s="179">
        <f>$J$126-10*LOG10(30/25)</f>
        <v>81.857028363738536</v>
      </c>
      <c r="K127" s="179">
        <f>$K$126-10*LOG10(30/25)</f>
        <v>91.056833812020301</v>
      </c>
      <c r="L127" s="179">
        <f>$L$126-10*LOG10(30/25)</f>
        <v>72.409904277721182</v>
      </c>
      <c r="M127" s="179">
        <f>$M$126-10*LOG10(30/25)</f>
        <v>81.384153204759812</v>
      </c>
      <c r="N127" s="179">
        <f>$N$126-10*LOG10(30/25)</f>
        <v>82.000033033085984</v>
      </c>
      <c r="O127" s="11"/>
      <c r="P127" s="217">
        <v>386</v>
      </c>
      <c r="Q127" s="219">
        <f t="shared" si="11"/>
        <v>1.0568669527896994</v>
      </c>
      <c r="R127" s="219">
        <f t="shared" si="11"/>
        <v>1.0740343347639485</v>
      </c>
      <c r="S127" s="219">
        <f t="shared" si="11"/>
        <v>0.94527896995708149</v>
      </c>
      <c r="T127" s="11"/>
      <c r="U127" s="12"/>
      <c r="V127" s="46"/>
    </row>
    <row r="128" spans="1:22">
      <c r="A128" s="46"/>
      <c r="B128" s="119"/>
      <c r="C128" s="170"/>
      <c r="D128" s="137"/>
      <c r="E128" s="171"/>
      <c r="F128" s="18"/>
      <c r="G128" s="18"/>
      <c r="H128" s="18"/>
      <c r="I128" s="18"/>
      <c r="J128" s="18"/>
      <c r="K128" s="18"/>
      <c r="L128" s="18"/>
      <c r="M128" s="18"/>
      <c r="N128" s="18"/>
      <c r="O128" s="18"/>
      <c r="P128" s="148"/>
      <c r="Q128" s="149"/>
      <c r="R128" s="148"/>
      <c r="S128" s="18"/>
      <c r="T128" s="18"/>
      <c r="U128" s="19"/>
      <c r="V128" s="46"/>
    </row>
    <row r="129" spans="1:22">
      <c r="A129" s="46"/>
      <c r="B129" s="76"/>
      <c r="C129" s="160"/>
      <c r="D129" s="66"/>
      <c r="E129" s="109"/>
      <c r="F129" s="11"/>
      <c r="G129" s="11"/>
      <c r="H129" s="11"/>
      <c r="I129" s="11"/>
      <c r="J129" s="11"/>
      <c r="K129" s="11"/>
      <c r="L129" s="11"/>
      <c r="M129" s="11"/>
      <c r="N129" s="11"/>
      <c r="O129" s="46"/>
      <c r="P129" s="168"/>
      <c r="Q129" s="169"/>
      <c r="R129" s="168"/>
      <c r="S129" s="46"/>
      <c r="T129" s="46"/>
      <c r="U129" s="46"/>
      <c r="V129" s="46"/>
    </row>
    <row r="130" spans="1:22">
      <c r="A130" s="46"/>
      <c r="B130" s="132" t="s">
        <v>320</v>
      </c>
      <c r="C130" s="181"/>
      <c r="D130" s="133"/>
      <c r="E130" s="182"/>
      <c r="F130" s="8"/>
      <c r="G130" s="8"/>
      <c r="H130" s="8"/>
      <c r="I130" s="8"/>
      <c r="J130" s="8"/>
      <c r="K130" s="8"/>
      <c r="L130" s="8"/>
      <c r="M130" s="8"/>
      <c r="N130" s="8"/>
      <c r="O130" s="8"/>
      <c r="P130" s="8"/>
      <c r="Q130" s="8"/>
      <c r="R130" s="8"/>
      <c r="S130" s="8"/>
      <c r="T130" s="8"/>
      <c r="U130" s="9"/>
      <c r="V130" s="46"/>
    </row>
    <row r="131" spans="1:22" ht="16.5">
      <c r="A131" s="46"/>
      <c r="B131" s="116" t="s">
        <v>324</v>
      </c>
      <c r="C131" s="160"/>
      <c r="D131" s="66"/>
      <c r="E131" s="109"/>
      <c r="F131" s="11"/>
      <c r="G131" s="11"/>
      <c r="H131" s="11"/>
      <c r="I131" s="11"/>
      <c r="J131" s="11"/>
      <c r="K131" s="11"/>
      <c r="L131" s="11"/>
      <c r="M131" s="11"/>
      <c r="N131" s="11"/>
      <c r="O131" s="11"/>
      <c r="P131" s="11"/>
      <c r="Q131" s="11"/>
      <c r="R131" s="11"/>
      <c r="S131" s="11"/>
      <c r="T131" s="11"/>
      <c r="U131" s="12"/>
      <c r="V131" s="46"/>
    </row>
    <row r="132" spans="1:22" ht="16.5">
      <c r="A132" s="46"/>
      <c r="B132" s="145"/>
      <c r="C132" s="11" t="s">
        <v>326</v>
      </c>
      <c r="D132" s="66"/>
      <c r="E132" s="109"/>
      <c r="F132" s="11"/>
      <c r="G132" s="11"/>
      <c r="H132" s="11" t="s">
        <v>329</v>
      </c>
      <c r="I132" s="11" t="s">
        <v>330</v>
      </c>
      <c r="J132" s="11" t="s">
        <v>331</v>
      </c>
      <c r="K132" s="11"/>
      <c r="L132" s="11"/>
      <c r="M132" s="11" t="s">
        <v>334</v>
      </c>
      <c r="N132" s="11"/>
      <c r="O132" s="11"/>
      <c r="P132" s="11"/>
      <c r="Q132" s="11"/>
      <c r="R132" s="11"/>
      <c r="S132" s="11"/>
      <c r="T132" s="11"/>
      <c r="U132" s="12"/>
      <c r="V132" s="46"/>
    </row>
    <row r="133" spans="1:22" ht="16.5">
      <c r="A133" s="46"/>
      <c r="B133" s="187" t="s">
        <v>327</v>
      </c>
      <c r="C133" s="11" t="s">
        <v>328</v>
      </c>
      <c r="D133" s="66"/>
      <c r="E133" s="109"/>
      <c r="F133" s="11"/>
      <c r="G133" s="11"/>
      <c r="H133" s="11"/>
      <c r="I133" s="11" t="s">
        <v>332</v>
      </c>
      <c r="J133" s="11" t="s">
        <v>333</v>
      </c>
      <c r="K133" s="11"/>
      <c r="L133" s="11"/>
      <c r="M133" s="11"/>
      <c r="N133" s="11"/>
      <c r="O133" s="11"/>
      <c r="P133" s="11"/>
      <c r="Q133" s="11"/>
      <c r="R133" s="11"/>
      <c r="S133" s="11"/>
      <c r="T133" s="11"/>
      <c r="U133" s="12"/>
      <c r="V133" s="46"/>
    </row>
    <row r="134" spans="1:22">
      <c r="A134" s="46"/>
      <c r="B134" s="116" t="s">
        <v>335</v>
      </c>
      <c r="C134" s="160"/>
      <c r="D134" s="66"/>
      <c r="E134" s="109"/>
      <c r="F134" s="11"/>
      <c r="G134" s="11"/>
      <c r="H134" s="11"/>
      <c r="I134" s="11"/>
      <c r="J134" s="11"/>
      <c r="K134" s="11"/>
      <c r="L134" s="11"/>
      <c r="M134" s="11"/>
      <c r="N134" s="11"/>
      <c r="O134" s="11"/>
      <c r="P134" s="11" t="s">
        <v>336</v>
      </c>
      <c r="Q134" s="11"/>
      <c r="R134" s="11"/>
      <c r="S134" s="11"/>
      <c r="T134" s="11"/>
      <c r="U134" s="12"/>
      <c r="V134" s="46"/>
    </row>
    <row r="135" spans="1:22">
      <c r="A135" s="46"/>
      <c r="B135" s="116" t="s">
        <v>337</v>
      </c>
      <c r="C135" s="160"/>
      <c r="D135" s="66"/>
      <c r="E135" s="109"/>
      <c r="F135" s="11"/>
      <c r="G135" s="11"/>
      <c r="H135" s="11"/>
      <c r="I135" s="11"/>
      <c r="J135" s="11"/>
      <c r="K135" s="11"/>
      <c r="L135" s="11"/>
      <c r="M135" s="11"/>
      <c r="N135" s="11"/>
      <c r="O135" s="11"/>
      <c r="P135" s="11"/>
      <c r="Q135" s="11"/>
      <c r="R135" s="11"/>
      <c r="S135" s="11"/>
      <c r="T135" s="11"/>
      <c r="U135" s="12"/>
      <c r="V135" s="46"/>
    </row>
    <row r="136" spans="1:22">
      <c r="A136" s="46"/>
      <c r="B136" s="116"/>
      <c r="C136" s="172" t="s">
        <v>339</v>
      </c>
      <c r="D136" s="66"/>
      <c r="E136" s="109"/>
      <c r="F136" s="15" t="s">
        <v>340</v>
      </c>
      <c r="G136" s="173">
        <v>6.25E-2</v>
      </c>
      <c r="H136" s="15" t="s">
        <v>341</v>
      </c>
      <c r="I136" s="107">
        <v>25</v>
      </c>
      <c r="J136" s="11"/>
      <c r="K136" s="11"/>
      <c r="L136" s="11"/>
      <c r="M136" s="11"/>
      <c r="N136" s="11"/>
      <c r="O136" s="11"/>
      <c r="P136" s="11"/>
      <c r="Q136" s="11"/>
      <c r="R136" s="11"/>
      <c r="S136" s="11"/>
      <c r="T136" s="11"/>
      <c r="U136" s="12"/>
      <c r="V136" s="46"/>
    </row>
    <row r="137" spans="1:22" ht="16.5">
      <c r="A137" s="46"/>
      <c r="B137" s="116" t="s">
        <v>344</v>
      </c>
      <c r="C137" s="160"/>
      <c r="D137" s="66">
        <f>D13</f>
        <v>271</v>
      </c>
      <c r="E137" s="109" t="s">
        <v>19</v>
      </c>
      <c r="F137" s="11"/>
      <c r="G137" s="11"/>
      <c r="H137" s="11"/>
      <c r="I137" s="11"/>
      <c r="J137" s="11"/>
      <c r="K137" s="11"/>
      <c r="L137" s="11"/>
      <c r="M137" s="11"/>
      <c r="N137" s="11"/>
      <c r="O137" s="11"/>
      <c r="P137" s="11"/>
      <c r="Q137" s="11"/>
      <c r="R137" s="11"/>
      <c r="S137" s="11"/>
      <c r="T137" s="11"/>
      <c r="U137" s="12"/>
      <c r="V137" s="46"/>
    </row>
    <row r="138" spans="1:22">
      <c r="A138" s="46"/>
      <c r="B138" s="116" t="s">
        <v>358</v>
      </c>
      <c r="C138" s="160"/>
      <c r="D138" s="66"/>
      <c r="E138" s="109"/>
      <c r="F138" s="11"/>
      <c r="G138" s="11"/>
      <c r="H138" s="11"/>
      <c r="I138" s="11"/>
      <c r="J138" s="11"/>
      <c r="K138" s="11"/>
      <c r="L138" s="11"/>
      <c r="M138" s="11"/>
      <c r="N138" s="11"/>
      <c r="O138" s="11"/>
      <c r="P138" s="11"/>
      <c r="Q138" s="11"/>
      <c r="R138" s="11"/>
      <c r="S138" s="11"/>
      <c r="T138" s="11"/>
      <c r="U138" s="12"/>
      <c r="V138" s="46"/>
    </row>
    <row r="139" spans="1:22">
      <c r="A139" s="46"/>
      <c r="B139" s="142"/>
      <c r="C139" s="160"/>
      <c r="D139" s="66"/>
      <c r="E139" s="109"/>
      <c r="F139" s="11"/>
      <c r="G139" s="11"/>
      <c r="H139" s="11"/>
      <c r="I139" s="11"/>
      <c r="J139" s="11"/>
      <c r="K139" s="11"/>
      <c r="L139" s="11"/>
      <c r="M139" s="11"/>
      <c r="N139" s="11"/>
      <c r="O139" s="11"/>
      <c r="P139" s="11"/>
      <c r="Q139" s="11"/>
      <c r="R139" s="11"/>
      <c r="S139" s="11"/>
      <c r="T139" s="11"/>
      <c r="U139" s="12"/>
      <c r="V139" s="46"/>
    </row>
    <row r="140" spans="1:22" ht="14.5" customHeight="1">
      <c r="A140" s="46"/>
      <c r="B140" s="142"/>
      <c r="C140" s="552"/>
      <c r="D140" s="553"/>
      <c r="E140" s="554" t="s">
        <v>413</v>
      </c>
      <c r="F140" s="501"/>
      <c r="G140" s="501"/>
      <c r="H140" s="501"/>
      <c r="I140" s="501"/>
      <c r="J140" s="454"/>
      <c r="K140" s="455"/>
      <c r="L140" s="455"/>
      <c r="M140" s="455"/>
      <c r="N140" s="457"/>
      <c r="O140" s="11"/>
      <c r="P140" s="11"/>
      <c r="Q140" s="11"/>
      <c r="R140" s="11"/>
      <c r="S140" s="11"/>
      <c r="T140" s="11"/>
      <c r="U140" s="12"/>
      <c r="V140" s="46"/>
    </row>
    <row r="141" spans="1:22" ht="31.5" customHeight="1">
      <c r="A141" s="46"/>
      <c r="B141" s="142"/>
      <c r="C141" s="598" t="s">
        <v>266</v>
      </c>
      <c r="D141" s="399" t="s">
        <v>338</v>
      </c>
      <c r="E141" s="167" t="s">
        <v>350</v>
      </c>
      <c r="F141" s="351" t="s">
        <v>713</v>
      </c>
      <c r="G141" s="165" t="s">
        <v>351</v>
      </c>
      <c r="H141" s="165" t="s">
        <v>352</v>
      </c>
      <c r="I141" s="165" t="s">
        <v>353</v>
      </c>
      <c r="J141" s="165" t="s">
        <v>347</v>
      </c>
      <c r="K141" s="405" t="s">
        <v>348</v>
      </c>
      <c r="L141" s="405" t="s">
        <v>354</v>
      </c>
      <c r="M141" s="405" t="s">
        <v>355</v>
      </c>
      <c r="N141" s="165" t="s">
        <v>356</v>
      </c>
      <c r="O141" s="11"/>
      <c r="P141" s="11"/>
      <c r="Q141" s="11"/>
      <c r="R141" s="11"/>
      <c r="S141" s="11"/>
      <c r="T141" s="11"/>
      <c r="U141" s="12"/>
      <c r="V141" s="46"/>
    </row>
    <row r="142" spans="1:22">
      <c r="A142" s="46"/>
      <c r="B142" s="142"/>
      <c r="C142" s="174">
        <v>80</v>
      </c>
      <c r="D142" s="176">
        <f>$G$136*C142+$I$136</f>
        <v>30</v>
      </c>
      <c r="E142" s="179">
        <f>$D$142*LOG(C142/$D$137)+$E$148</f>
        <v>77.233216141466642</v>
      </c>
      <c r="F142" s="179">
        <f>$D$142*LOG(C142/$D$137)+$F$148</f>
        <v>78.803620883526136</v>
      </c>
      <c r="G142" s="179">
        <f>$D$142*LOG(C142/$D$137)+$G$148</f>
        <v>77.755010654233473</v>
      </c>
      <c r="H142" s="179">
        <f>$D$142*LOG(C142/$D$137)+$H$148</f>
        <v>78.485188566702121</v>
      </c>
      <c r="I142" s="179">
        <f>$D$142*LOG(C142/$D$137)+$I$148</f>
        <v>76.850889880980645</v>
      </c>
      <c r="J142" s="179">
        <f>$D$142*LOG(C142/$D$137)+$J$148</f>
        <v>78.041083869097079</v>
      </c>
      <c r="K142" s="179">
        <f>$D$142*LOG(C142/$D$137)+$K$148</f>
        <v>88.497448110314892</v>
      </c>
      <c r="L142" s="179">
        <f>$D$142*LOG(C142/$D$137)+$L$148</f>
        <v>67.303620883526136</v>
      </c>
      <c r="M142" s="179">
        <f>$D$142*LOG(C142/$D$137)+$M$148</f>
        <v>77.503620883526139</v>
      </c>
      <c r="N142" s="179">
        <f>$D$142*LOG(C142/$D$137)+$N$148</f>
        <v>78.203620883526128</v>
      </c>
      <c r="O142" s="11"/>
      <c r="P142" s="117"/>
      <c r="Q142" s="184"/>
      <c r="R142" s="185"/>
      <c r="S142" s="11"/>
      <c r="T142" s="11"/>
      <c r="U142" s="12"/>
      <c r="V142" s="46"/>
    </row>
    <row r="143" spans="1:22">
      <c r="A143" s="46"/>
      <c r="B143" s="142"/>
      <c r="C143" s="174">
        <v>150</v>
      </c>
      <c r="D143" s="176">
        <f t="shared" ref="D143:D148" si="12">$G$136*C143+$I$136</f>
        <v>34.375</v>
      </c>
      <c r="E143" s="179">
        <f>$D$143*LOG(C143/$D$137)+$E$148</f>
        <v>84.299412914171853</v>
      </c>
      <c r="F143" s="179">
        <f>$D$143*LOG(C143/$D$137)+$F$148</f>
        <v>85.869817656231348</v>
      </c>
      <c r="G143" s="179">
        <f>$D$143*LOG(C143/$D$137)+$G$148</f>
        <v>84.821207426938685</v>
      </c>
      <c r="H143" s="179">
        <f>$D$143*LOG(C143/$D$137)+$H$148</f>
        <v>85.551385339407332</v>
      </c>
      <c r="I143" s="179">
        <f>$D$143*LOG(C143/$D$137)+$I$148</f>
        <v>83.917086653685857</v>
      </c>
      <c r="J143" s="179">
        <f>$D$143*LOG(C143/$D$137)+$J$148</f>
        <v>85.107280641802291</v>
      </c>
      <c r="K143" s="179">
        <f>$D$143*LOG(C143/$D$137)+$K$148</f>
        <v>95.563644883020103</v>
      </c>
      <c r="L143" s="179">
        <f>$D$143*LOG(C143/$D$137)+$L$148</f>
        <v>74.369817656231348</v>
      </c>
      <c r="M143" s="179">
        <f>$D$143*LOG(C143/$D$137)+$M$148</f>
        <v>84.569817656231351</v>
      </c>
      <c r="N143" s="179">
        <f>$D$143*LOG(C143/$D$137)+$N$148</f>
        <v>85.269817656231339</v>
      </c>
      <c r="O143" s="11"/>
      <c r="P143" s="117"/>
      <c r="Q143" s="184"/>
      <c r="R143" s="185"/>
      <c r="S143" s="11"/>
      <c r="T143" s="11"/>
      <c r="U143" s="12"/>
      <c r="V143" s="46"/>
    </row>
    <row r="144" spans="1:22">
      <c r="A144" s="46"/>
      <c r="B144" s="142"/>
      <c r="C144" s="174">
        <v>200</v>
      </c>
      <c r="D144" s="176">
        <f t="shared" si="12"/>
        <v>37.5</v>
      </c>
      <c r="E144" s="179">
        <f>$D$144*LOG(C144/$D$137)+$E$148</f>
        <v>88.181871687549588</v>
      </c>
      <c r="F144" s="179">
        <f>$D$144*LOG(C144/$D$137)+$F$148</f>
        <v>89.752276429609083</v>
      </c>
      <c r="G144" s="179">
        <f>$D$144*LOG(C144/$D$137)+$G$148</f>
        <v>88.70366620031642</v>
      </c>
      <c r="H144" s="179">
        <f>$D$144*LOG(C144/$D$137)+$H$148</f>
        <v>89.433844112785067</v>
      </c>
      <c r="I144" s="179">
        <f>$D$144*LOG(C144/$D$137)+$I$148</f>
        <v>87.799545427063592</v>
      </c>
      <c r="J144" s="179">
        <f>$D$144*LOG(C144/$D$137)+$J$148</f>
        <v>88.989739415180026</v>
      </c>
      <c r="K144" s="179">
        <f>$D$144*LOG(C144/$D$137)+$K$148</f>
        <v>99.446103656397838</v>
      </c>
      <c r="L144" s="179">
        <f>$D$144*LOG(C144/$D$137)+$L$148</f>
        <v>78.252276429609083</v>
      </c>
      <c r="M144" s="179">
        <f>$D$144*LOG(C144/$D$137)+$M$148</f>
        <v>88.452276429609086</v>
      </c>
      <c r="N144" s="179">
        <f>$D$144*LOG(C144/$D$137)+$N$148</f>
        <v>89.152276429609074</v>
      </c>
      <c r="O144" s="11"/>
      <c r="P144" s="117"/>
      <c r="Q144" s="184"/>
      <c r="R144" s="185"/>
      <c r="S144" s="11"/>
      <c r="T144" s="11"/>
      <c r="U144" s="12"/>
      <c r="V144" s="46"/>
    </row>
    <row r="145" spans="1:22">
      <c r="A145" s="46"/>
      <c r="B145" s="142"/>
      <c r="C145" s="174">
        <v>250</v>
      </c>
      <c r="D145" s="176">
        <f t="shared" si="12"/>
        <v>40.625</v>
      </c>
      <c r="E145" s="179">
        <f>$D$145*LOG(C145/$D$137)+$E$148</f>
        <v>91.706530668469298</v>
      </c>
      <c r="F145" s="179">
        <f>$D$145*LOG(C145/$D$137)+$F$148</f>
        <v>93.276935410528793</v>
      </c>
      <c r="G145" s="179">
        <f>$D$145*LOG(C145/$D$137)+$G$148</f>
        <v>92.22832518123613</v>
      </c>
      <c r="H145" s="179">
        <f>$D$145*LOG(C145/$D$137)+$H$148</f>
        <v>92.958503093704778</v>
      </c>
      <c r="I145" s="179">
        <f>$D$145*LOG(C145/$D$137)+$I$148</f>
        <v>91.324204407983302</v>
      </c>
      <c r="J145" s="179">
        <f>$D$145*LOG(C145/$D$137)+$J$148</f>
        <v>92.514398396099736</v>
      </c>
      <c r="K145" s="179">
        <f>$D$145*LOG(C145/$D$137)+$K$148</f>
        <v>102.97076263731755</v>
      </c>
      <c r="L145" s="179">
        <f>$D$145*LOG(C145/$D$137)+$L$148</f>
        <v>81.776935410528793</v>
      </c>
      <c r="M145" s="179">
        <f>$D$145*LOG(C145/$D$137)+$M$148</f>
        <v>91.976935410528796</v>
      </c>
      <c r="N145" s="179">
        <f>$D$145*LOG(C145/$D$137)+$N$148</f>
        <v>92.676935410528785</v>
      </c>
      <c r="O145" s="11"/>
      <c r="P145" s="117"/>
      <c r="Q145" s="184"/>
      <c r="R145" s="185"/>
      <c r="S145" s="11"/>
      <c r="T145" s="11"/>
      <c r="U145" s="12"/>
      <c r="V145" s="46"/>
    </row>
    <row r="146" spans="1:22">
      <c r="A146" s="46"/>
      <c r="B146" s="142"/>
      <c r="C146" s="174">
        <v>300</v>
      </c>
      <c r="D146" s="176">
        <f t="shared" si="12"/>
        <v>43.75</v>
      </c>
      <c r="E146" s="179">
        <f>$D$146*LOG(C146/$D$137)+$E$148</f>
        <v>95.061243676170491</v>
      </c>
      <c r="F146" s="179">
        <f>$D$146*LOG(C146/$D$137)+$F$148</f>
        <v>96.631648418229986</v>
      </c>
      <c r="G146" s="179">
        <f>$D$146*LOG(C146/$D$137)+$G$148</f>
        <v>95.583038188937323</v>
      </c>
      <c r="H146" s="179">
        <f>$D$146*LOG(C146/$D$137)+$H$148</f>
        <v>96.31321610140597</v>
      </c>
      <c r="I146" s="179">
        <f>$D$146*LOG(C146/$D$137)+$I$148</f>
        <v>94.678917415684495</v>
      </c>
      <c r="J146" s="179">
        <f>$D$146*LOG(C146/$D$137)+$J$148</f>
        <v>95.869111403800929</v>
      </c>
      <c r="K146" s="179">
        <f>$D$146*LOG(C146/$D$137)+$K$148</f>
        <v>106.32547564501874</v>
      </c>
      <c r="L146" s="179">
        <f>$D$146*LOG(C146/$D$137)+$L$148</f>
        <v>85.131648418229986</v>
      </c>
      <c r="M146" s="179">
        <f>$D$146*LOG(C146/$D$137)+$M$148</f>
        <v>95.331648418229989</v>
      </c>
      <c r="N146" s="179">
        <f>$D$146*LOG(C146/$D$137)+$N$148</f>
        <v>96.031648418229977</v>
      </c>
      <c r="O146" s="11"/>
      <c r="P146" s="117"/>
      <c r="Q146" s="184"/>
      <c r="R146" s="185"/>
      <c r="S146" s="11"/>
      <c r="T146" s="11"/>
      <c r="U146" s="12"/>
      <c r="V146" s="46"/>
    </row>
    <row r="147" spans="1:22">
      <c r="A147" s="46"/>
      <c r="B147" s="142"/>
      <c r="C147" s="174">
        <v>350</v>
      </c>
      <c r="D147" s="176">
        <f t="shared" si="12"/>
        <v>46.875</v>
      </c>
      <c r="E147" s="179">
        <f>$D$147*LOG(C147/$D$137)+$E$148</f>
        <v>98.337349327121913</v>
      </c>
      <c r="F147" s="179">
        <f>$D$147*LOG(C147/$D$137)+$F$148</f>
        <v>99.907754069181408</v>
      </c>
      <c r="G147" s="179">
        <f>$D$147*LOG(C147/$D$137)+$G$148</f>
        <v>98.859143839888745</v>
      </c>
      <c r="H147" s="179">
        <f>$D$147*LOG(C147/$D$137)+$H$148</f>
        <v>99.589321752357392</v>
      </c>
      <c r="I147" s="179">
        <f>$D$147*LOG(C147/$D$137)+$I$148</f>
        <v>97.955023066635917</v>
      </c>
      <c r="J147" s="179">
        <f>$D$147*LOG(C147/$D$137)+$J$148</f>
        <v>99.145217054752351</v>
      </c>
      <c r="K147" s="179">
        <f>$D$147*LOG(C147/$D$137)+$K$148</f>
        <v>109.60158129597016</v>
      </c>
      <c r="L147" s="179">
        <f>$D$147*LOG(C147/$D$137)+$L$148</f>
        <v>88.407754069181408</v>
      </c>
      <c r="M147" s="179">
        <f>$D$147*LOG(C147/$D$137)+$M$148</f>
        <v>98.607754069181411</v>
      </c>
      <c r="N147" s="179">
        <f>$D$147*LOG(C147/$D$137)+$N$148</f>
        <v>99.307754069181399</v>
      </c>
      <c r="O147" s="11"/>
      <c r="P147" s="117"/>
      <c r="Q147" s="184"/>
      <c r="R147" s="185"/>
      <c r="S147" s="11"/>
      <c r="T147" s="11"/>
      <c r="U147" s="12"/>
      <c r="V147" s="46"/>
    </row>
    <row r="148" spans="1:22">
      <c r="A148" s="46"/>
      <c r="B148" s="155" t="s">
        <v>385</v>
      </c>
      <c r="C148" s="174">
        <v>271</v>
      </c>
      <c r="D148" s="176">
        <f t="shared" si="12"/>
        <v>41.9375</v>
      </c>
      <c r="E148" s="179">
        <f>E124</f>
        <v>93.129595257940508</v>
      </c>
      <c r="F148" s="179">
        <f t="shared" ref="F148:N148" si="13">F124</f>
        <v>94.7</v>
      </c>
      <c r="G148" s="179">
        <f t="shared" si="13"/>
        <v>93.65138977070734</v>
      </c>
      <c r="H148" s="179">
        <f t="shared" si="13"/>
        <v>94.381567683175987</v>
      </c>
      <c r="I148" s="179">
        <f t="shared" si="13"/>
        <v>92.747268997454512</v>
      </c>
      <c r="J148" s="179">
        <f t="shared" si="13"/>
        <v>93.937462985570946</v>
      </c>
      <c r="K148" s="179">
        <f t="shared" si="13"/>
        <v>104.39382722678876</v>
      </c>
      <c r="L148" s="179">
        <f t="shared" si="13"/>
        <v>83.2</v>
      </c>
      <c r="M148" s="179">
        <f t="shared" si="13"/>
        <v>93.4</v>
      </c>
      <c r="N148" s="179">
        <f t="shared" si="13"/>
        <v>94.1</v>
      </c>
      <c r="O148" s="11"/>
      <c r="P148" s="117"/>
      <c r="Q148" s="184"/>
      <c r="R148" s="185"/>
      <c r="S148" s="11"/>
      <c r="T148" s="11"/>
      <c r="U148" s="12"/>
      <c r="V148" s="46"/>
    </row>
    <row r="149" spans="1:22">
      <c r="A149" s="46"/>
      <c r="B149" s="155"/>
      <c r="C149" s="117"/>
      <c r="D149" s="184"/>
      <c r="E149" s="185"/>
      <c r="F149" s="185"/>
      <c r="G149" s="185"/>
      <c r="H149" s="185"/>
      <c r="I149" s="185"/>
      <c r="J149" s="185"/>
      <c r="K149" s="185"/>
      <c r="L149" s="185"/>
      <c r="M149" s="185"/>
      <c r="N149" s="185"/>
      <c r="O149" s="11"/>
      <c r="P149" s="11"/>
      <c r="Q149" s="11"/>
      <c r="R149" s="11"/>
      <c r="S149" s="11"/>
      <c r="T149" s="11"/>
      <c r="U149" s="12"/>
      <c r="V149" s="46"/>
    </row>
    <row r="150" spans="1:22" ht="15" customHeight="1">
      <c r="A150" s="46"/>
      <c r="B150" s="142"/>
      <c r="C150" s="552"/>
      <c r="D150" s="553"/>
      <c r="E150" s="555" t="s">
        <v>411</v>
      </c>
      <c r="F150" s="501"/>
      <c r="G150" s="501"/>
      <c r="H150" s="501"/>
      <c r="I150" s="501"/>
      <c r="J150" s="454"/>
      <c r="K150" s="455"/>
      <c r="L150" s="455"/>
      <c r="M150" s="455"/>
      <c r="N150" s="455"/>
      <c r="O150" s="11"/>
      <c r="P150" s="11"/>
      <c r="Q150" s="11"/>
      <c r="R150" s="11"/>
      <c r="S150" s="11"/>
      <c r="T150" s="11"/>
      <c r="U150" s="12"/>
      <c r="V150" s="46"/>
    </row>
    <row r="151" spans="1:22" ht="26">
      <c r="A151" s="46"/>
      <c r="B151" s="142"/>
      <c r="C151" s="598" t="s">
        <v>266</v>
      </c>
      <c r="D151" s="469" t="s">
        <v>338</v>
      </c>
      <c r="E151" s="167" t="s">
        <v>350</v>
      </c>
      <c r="F151" s="351" t="s">
        <v>713</v>
      </c>
      <c r="G151" s="165" t="s">
        <v>351</v>
      </c>
      <c r="H151" s="165" t="s">
        <v>352</v>
      </c>
      <c r="I151" s="165" t="s">
        <v>353</v>
      </c>
      <c r="J151" s="165" t="s">
        <v>347</v>
      </c>
      <c r="K151" s="405" t="s">
        <v>348</v>
      </c>
      <c r="L151" s="405" t="s">
        <v>354</v>
      </c>
      <c r="M151" s="405" t="s">
        <v>355</v>
      </c>
      <c r="N151" s="405" t="s">
        <v>356</v>
      </c>
      <c r="O151" s="11"/>
      <c r="P151" s="11"/>
      <c r="Q151" s="11"/>
      <c r="R151" s="11"/>
      <c r="S151" s="11"/>
      <c r="T151" s="11"/>
      <c r="U151" s="12"/>
      <c r="V151" s="46"/>
    </row>
    <row r="152" spans="1:22">
      <c r="A152" s="46"/>
      <c r="B152" s="142"/>
      <c r="C152" s="174">
        <v>80</v>
      </c>
      <c r="D152" s="176">
        <f>$G$136*C152+$I$136</f>
        <v>30</v>
      </c>
      <c r="E152" s="179">
        <f>$D$152*LOG(C152/$D$137)+$E$158</f>
        <v>79.831252060679574</v>
      </c>
      <c r="F152" s="179">
        <f>$D$152*LOG(C152/$D$137)+$F$158</f>
        <v>81.445466377088366</v>
      </c>
      <c r="G152" s="179">
        <f>$D$152*LOG(C152/$D$137)+$G$158</f>
        <v>80.367603072729608</v>
      </c>
      <c r="H152" s="179">
        <f>$D$152*LOG(C152/$D$137)+$H$158</f>
        <v>81.118150755288582</v>
      </c>
      <c r="I152" s="179">
        <f>$D$152*LOG(C152/$D$137)+$I$158</f>
        <v>79.438260046145686</v>
      </c>
      <c r="J152" s="179">
        <f>$D$152*LOG(C152/$D$137)+$J$158</f>
        <v>80.661656870840474</v>
      </c>
      <c r="K152" s="179">
        <f>$D$152*LOG(C152/$D$137)+$K$158</f>
        <v>91.409722260418448</v>
      </c>
      <c r="L152" s="179">
        <f>$D$152*LOG(C152/$D$137)+$L$158</f>
        <v>69.624650926444588</v>
      </c>
      <c r="M152" s="179">
        <f>$D$152*LOG(C152/$D$137)+$M$158</f>
        <v>80.109200282667771</v>
      </c>
      <c r="N152" s="179">
        <f>$D$152*LOG(C152/$D$137)+$N$158</f>
        <v>80.828728179663472</v>
      </c>
      <c r="O152" s="11"/>
      <c r="P152" s="11"/>
      <c r="Q152" s="11"/>
      <c r="R152" s="11"/>
      <c r="S152" s="11"/>
      <c r="T152" s="11"/>
      <c r="U152" s="12"/>
      <c r="V152" s="46"/>
    </row>
    <row r="153" spans="1:22">
      <c r="A153" s="46"/>
      <c r="B153" s="142"/>
      <c r="C153" s="174">
        <v>150</v>
      </c>
      <c r="D153" s="176">
        <f t="shared" ref="D153:D158" si="14">$G$136*C153+$I$136</f>
        <v>34.375</v>
      </c>
      <c r="E153" s="179">
        <f>$D$153*LOG(C153/$D$137)+$E$158</f>
        <v>86.897448833384786</v>
      </c>
      <c r="F153" s="179">
        <f>$D$153*LOG(C153/$D$137)+$F$158</f>
        <v>88.511663149793577</v>
      </c>
      <c r="G153" s="179">
        <f>$D$153*LOG(C153/$D$137)+$G$158</f>
        <v>87.43379984543482</v>
      </c>
      <c r="H153" s="179">
        <f>$D$153*LOG(C153/$D$137)+$H$158</f>
        <v>88.184347527993793</v>
      </c>
      <c r="I153" s="179">
        <f>$D$153*LOG(C153/$D$137)+$I$158</f>
        <v>86.504456818850898</v>
      </c>
      <c r="J153" s="179">
        <f>$D$153*LOG(C153/$D$137)+$J$158</f>
        <v>87.727853643545686</v>
      </c>
      <c r="K153" s="179">
        <f>$D$153*LOG(C153/$D$137)+$K$158</f>
        <v>98.47591903312366</v>
      </c>
      <c r="L153" s="179">
        <f>$D$153*LOG(C153/$D$137)+$L$158</f>
        <v>76.690847699149799</v>
      </c>
      <c r="M153" s="179">
        <f>$D$153*LOG(C153/$D$137)+$M$158</f>
        <v>87.175397055372983</v>
      </c>
      <c r="N153" s="179">
        <f>$D$153*LOG(C153/$D$137)+$N$158</f>
        <v>87.894924952368683</v>
      </c>
      <c r="O153" s="11"/>
      <c r="P153" s="11"/>
      <c r="Q153" s="11"/>
      <c r="R153" s="11"/>
      <c r="S153" s="11"/>
      <c r="T153" s="11"/>
      <c r="U153" s="12"/>
      <c r="V153" s="46"/>
    </row>
    <row r="154" spans="1:22">
      <c r="A154" s="46"/>
      <c r="B154" s="142"/>
      <c r="C154" s="174">
        <v>200</v>
      </c>
      <c r="D154" s="176">
        <f t="shared" si="14"/>
        <v>37.5</v>
      </c>
      <c r="E154" s="179">
        <f>$D$154*LOG(C154/$D$137)+$E$158</f>
        <v>90.779907606762521</v>
      </c>
      <c r="F154" s="179">
        <f>$D$154*LOG(C154/$D$137)+$F$158</f>
        <v>92.394121923171312</v>
      </c>
      <c r="G154" s="179">
        <f>$D$154*LOG(C154/$D$137)+$G$158</f>
        <v>91.316258618812554</v>
      </c>
      <c r="H154" s="179">
        <f>$D$154*LOG(C154/$D$137)+$H$158</f>
        <v>92.066806301371528</v>
      </c>
      <c r="I154" s="179">
        <f>$D$154*LOG(C154/$D$137)+$I$158</f>
        <v>90.386915592228632</v>
      </c>
      <c r="J154" s="179">
        <f>$D$154*LOG(C154/$D$137)+$J$158</f>
        <v>91.610312416923421</v>
      </c>
      <c r="K154" s="179">
        <f>$D$154*LOG(C154/$D$137)+$K$158</f>
        <v>102.35837780650139</v>
      </c>
      <c r="L154" s="179">
        <f>$D$154*LOG(C154/$D$137)+$L$158</f>
        <v>80.573306472527534</v>
      </c>
      <c r="M154" s="179">
        <f>$D$154*LOG(C154/$D$137)+$M$158</f>
        <v>91.057855828750718</v>
      </c>
      <c r="N154" s="179">
        <f>$D$154*LOG(C154/$D$137)+$N$158</f>
        <v>91.777383725746418</v>
      </c>
      <c r="O154" s="11"/>
      <c r="P154" s="125" t="s">
        <v>428</v>
      </c>
      <c r="Q154" s="11"/>
      <c r="R154" s="11"/>
      <c r="S154" s="11"/>
      <c r="T154" s="11"/>
      <c r="U154" s="12"/>
      <c r="V154" s="46"/>
    </row>
    <row r="155" spans="1:22">
      <c r="A155" s="46"/>
      <c r="B155" s="142"/>
      <c r="C155" s="174">
        <v>250</v>
      </c>
      <c r="D155" s="176">
        <f t="shared" si="14"/>
        <v>40.625</v>
      </c>
      <c r="E155" s="179">
        <f>$D$155*LOG(C155/$D$137)+$E$158</f>
        <v>94.304566587682231</v>
      </c>
      <c r="F155" s="179">
        <f>$D$155*LOG(C155/$D$137)+$F$158</f>
        <v>95.918780904091022</v>
      </c>
      <c r="G155" s="179">
        <f>$D$155*LOG(C155/$D$137)+$G$158</f>
        <v>94.840917599732265</v>
      </c>
      <c r="H155" s="179">
        <f>$D$155*LOG(C155/$D$137)+$H$158</f>
        <v>95.591465282291239</v>
      </c>
      <c r="I155" s="179">
        <f>$D$155*LOG(C155/$D$137)+$I$158</f>
        <v>93.911574573148343</v>
      </c>
      <c r="J155" s="179">
        <f>$D$155*LOG(C155/$D$137)+$J$158</f>
        <v>95.134971397843131</v>
      </c>
      <c r="K155" s="179">
        <f>$D$155*LOG(C155/$D$137)+$K$158</f>
        <v>105.8830367874211</v>
      </c>
      <c r="L155" s="179">
        <f>$D$155*LOG(C155/$D$137)+$L$158</f>
        <v>84.097965453447244</v>
      </c>
      <c r="M155" s="179">
        <f>$D$155*LOG(C155/$D$137)+$M$158</f>
        <v>94.582514809670428</v>
      </c>
      <c r="N155" s="179">
        <f>$D$155*LOG(C155/$D$137)+$N$158</f>
        <v>95.302042706666128</v>
      </c>
      <c r="O155" s="11"/>
      <c r="P155" s="125" t="s">
        <v>429</v>
      </c>
      <c r="Q155" s="11"/>
      <c r="R155" s="11"/>
      <c r="S155" s="11"/>
      <c r="T155" s="11"/>
      <c r="U155" s="12"/>
      <c r="V155" s="46"/>
    </row>
    <row r="156" spans="1:22">
      <c r="A156" s="46"/>
      <c r="B156" s="142"/>
      <c r="C156" s="174">
        <v>300</v>
      </c>
      <c r="D156" s="176">
        <f t="shared" si="14"/>
        <v>43.75</v>
      </c>
      <c r="E156" s="179">
        <f>$D$156*LOG(C156/$D$137)+$E$158</f>
        <v>97.659279595383424</v>
      </c>
      <c r="F156" s="179">
        <f>$D$156*LOG(C156/$D$137)+$F$158</f>
        <v>99.273493911792215</v>
      </c>
      <c r="G156" s="179">
        <f>$D$156*LOG(C156/$D$137)+$G$158</f>
        <v>98.195630607433458</v>
      </c>
      <c r="H156" s="179">
        <f>$D$156*LOG(C156/$D$137)+$H$158</f>
        <v>98.946178289992432</v>
      </c>
      <c r="I156" s="179">
        <f>$D$156*LOG(C156/$D$137)+$I$158</f>
        <v>97.266287580849536</v>
      </c>
      <c r="J156" s="179">
        <f>$D$156*LOG(C156/$D$137)+$J$158</f>
        <v>98.489684405544324</v>
      </c>
      <c r="K156" s="179">
        <f>$D$156*LOG(C156/$D$137)+$K$158</f>
        <v>109.2377497951223</v>
      </c>
      <c r="L156" s="179">
        <f>$D$156*LOG(C156/$D$137)+$L$158</f>
        <v>87.452678461148437</v>
      </c>
      <c r="M156" s="179">
        <f>$D$156*LOG(C156/$D$137)+$M$158</f>
        <v>97.937227817371621</v>
      </c>
      <c r="N156" s="179">
        <f>$D$156*LOG(C156/$D$137)+$N$158</f>
        <v>98.656755714367321</v>
      </c>
      <c r="O156" s="11"/>
      <c r="P156" s="11" t="s">
        <v>430</v>
      </c>
      <c r="Q156" s="11"/>
      <c r="R156" s="11"/>
      <c r="S156" s="11"/>
      <c r="T156" s="11"/>
      <c r="U156" s="12"/>
      <c r="V156" s="46"/>
    </row>
    <row r="157" spans="1:22">
      <c r="A157" s="46"/>
      <c r="B157" s="142"/>
      <c r="C157" s="174">
        <v>350</v>
      </c>
      <c r="D157" s="176">
        <f t="shared" si="14"/>
        <v>46.875</v>
      </c>
      <c r="E157" s="179">
        <f>$D$157*LOG(C157/$D$137)+$E$158</f>
        <v>100.93538524633485</v>
      </c>
      <c r="F157" s="179">
        <f>$D$147*LOG(C157/$D$137)+$F$158</f>
        <v>102.54959956274364</v>
      </c>
      <c r="G157" s="179">
        <f>$D$147*LOG(C157/$D$137)+$G$158</f>
        <v>101.47173625838488</v>
      </c>
      <c r="H157" s="179">
        <f>$D$147*LOG(C157/$D$137)+$H$158</f>
        <v>102.22228394094385</v>
      </c>
      <c r="I157" s="179">
        <f>$D$147*LOG(C157/$D$137)+$I$158</f>
        <v>100.54239323180096</v>
      </c>
      <c r="J157" s="179">
        <f>$D$147*LOG(C157/$D$137)+$J$158</f>
        <v>101.76579005649575</v>
      </c>
      <c r="K157" s="179">
        <f>$D$147*LOG(C157/$D$137)+$K$158</f>
        <v>112.51385544607372</v>
      </c>
      <c r="L157" s="179">
        <f>$D$147*LOG(C157/$D$137)+$L$158</f>
        <v>90.728784112099859</v>
      </c>
      <c r="M157" s="179">
        <f>$D$147*LOG(C157/$D$137)+$M$158</f>
        <v>101.21333346832304</v>
      </c>
      <c r="N157" s="179">
        <f>$D$147*LOG(C157/$D$137)+$N$158</f>
        <v>101.93286136531874</v>
      </c>
      <c r="O157" s="11"/>
      <c r="P157" s="11"/>
      <c r="Q157" s="11"/>
      <c r="R157" s="15" t="s">
        <v>435</v>
      </c>
      <c r="S157" s="11"/>
      <c r="T157" s="11"/>
      <c r="U157" s="12"/>
      <c r="V157" s="46"/>
    </row>
    <row r="158" spans="1:22">
      <c r="A158" s="46"/>
      <c r="B158" s="155" t="s">
        <v>385</v>
      </c>
      <c r="C158" s="174">
        <v>271</v>
      </c>
      <c r="D158" s="176">
        <f t="shared" si="14"/>
        <v>41.9375</v>
      </c>
      <c r="E158" s="179">
        <f>E125</f>
        <v>95.727631177153441</v>
      </c>
      <c r="F158" s="179">
        <f t="shared" ref="F158:N158" si="15">F125</f>
        <v>97.341845493562232</v>
      </c>
      <c r="G158" s="179">
        <f t="shared" si="15"/>
        <v>96.263982189203475</v>
      </c>
      <c r="H158" s="179">
        <f t="shared" si="15"/>
        <v>97.014529871762448</v>
      </c>
      <c r="I158" s="179">
        <f t="shared" si="15"/>
        <v>95.334639162619553</v>
      </c>
      <c r="J158" s="179">
        <f t="shared" si="15"/>
        <v>96.558035987314341</v>
      </c>
      <c r="K158" s="179">
        <f t="shared" si="15"/>
        <v>107.30610137689231</v>
      </c>
      <c r="L158" s="179">
        <f t="shared" si="15"/>
        <v>85.521030042918454</v>
      </c>
      <c r="M158" s="179">
        <f t="shared" si="15"/>
        <v>96.005579399141638</v>
      </c>
      <c r="N158" s="179">
        <f t="shared" si="15"/>
        <v>96.725107296137338</v>
      </c>
      <c r="O158" s="11"/>
      <c r="P158" s="11"/>
      <c r="Q158" s="11"/>
      <c r="R158" s="11"/>
      <c r="S158" s="11"/>
      <c r="T158" s="11"/>
      <c r="U158" s="12"/>
      <c r="V158" s="46"/>
    </row>
    <row r="159" spans="1:22">
      <c r="A159" s="46"/>
      <c r="B159" s="142"/>
      <c r="C159" s="160"/>
      <c r="D159" s="66"/>
      <c r="E159" s="109"/>
      <c r="F159" s="11"/>
      <c r="G159" s="11"/>
      <c r="H159" s="11"/>
      <c r="I159" s="11"/>
      <c r="J159" s="11"/>
      <c r="K159" s="11"/>
      <c r="L159" s="11"/>
      <c r="M159" s="11"/>
      <c r="N159" s="11"/>
      <c r="O159" s="11"/>
      <c r="P159" s="11"/>
      <c r="Q159" s="11"/>
      <c r="R159" s="11"/>
      <c r="S159" s="11"/>
      <c r="T159" s="11"/>
      <c r="U159" s="12"/>
      <c r="V159" s="46"/>
    </row>
    <row r="160" spans="1:22" ht="14.5" customHeight="1">
      <c r="A160" s="46"/>
      <c r="B160" s="142"/>
      <c r="C160" s="559"/>
      <c r="D160" s="553"/>
      <c r="E160" s="555" t="s">
        <v>359</v>
      </c>
      <c r="F160" s="501"/>
      <c r="G160" s="501"/>
      <c r="H160" s="501"/>
      <c r="I160" s="501"/>
      <c r="J160" s="501"/>
      <c r="K160" s="454"/>
      <c r="L160" s="455"/>
      <c r="M160" s="455"/>
      <c r="N160" s="457"/>
      <c r="O160" s="11"/>
      <c r="P160" s="11"/>
      <c r="Q160" s="11"/>
      <c r="R160" s="11"/>
      <c r="S160" s="11"/>
      <c r="T160" s="11"/>
      <c r="U160" s="12"/>
      <c r="V160" s="46"/>
    </row>
    <row r="161" spans="1:23" ht="43.5">
      <c r="A161" s="46"/>
      <c r="B161" s="142"/>
      <c r="C161" s="597" t="s">
        <v>266</v>
      </c>
      <c r="D161" s="405" t="s">
        <v>338</v>
      </c>
      <c r="E161" s="167" t="s">
        <v>350</v>
      </c>
      <c r="F161" s="351" t="s">
        <v>713</v>
      </c>
      <c r="G161" s="165" t="s">
        <v>351</v>
      </c>
      <c r="H161" s="165" t="s">
        <v>352</v>
      </c>
      <c r="I161" s="165" t="s">
        <v>353</v>
      </c>
      <c r="J161" s="165" t="s">
        <v>347</v>
      </c>
      <c r="K161" s="165" t="s">
        <v>348</v>
      </c>
      <c r="L161" s="405" t="s">
        <v>354</v>
      </c>
      <c r="M161" s="405" t="s">
        <v>355</v>
      </c>
      <c r="N161" s="165" t="s">
        <v>356</v>
      </c>
      <c r="O161" s="11"/>
      <c r="P161" s="11"/>
      <c r="Q161" s="11"/>
      <c r="R161" s="11"/>
      <c r="S161" s="11"/>
      <c r="T161" s="11"/>
      <c r="U161" s="12"/>
      <c r="V161" s="46"/>
    </row>
    <row r="162" spans="1:23">
      <c r="A162" s="46"/>
      <c r="B162" s="142"/>
      <c r="C162" s="174">
        <v>80</v>
      </c>
      <c r="D162" s="176">
        <f>$G$136*C162+$I$136</f>
        <v>30</v>
      </c>
      <c r="E162" s="179">
        <f>$D$162*LOG(C162/$D$137)+$E$168</f>
        <v>66.041676797164783</v>
      </c>
      <c r="F162" s="179">
        <f>$D$162*LOG(C162/$D$137)+$F$168</f>
        <v>67.42336337279653</v>
      </c>
      <c r="G162" s="179">
        <f>$D$162*LOG(C162/$D$137)+$G$168</f>
        <v>66.50076638994247</v>
      </c>
      <c r="H162" s="179">
        <f>$D$162*LOG(C162/$D$137)+$H$168</f>
        <v>67.143197600483546</v>
      </c>
      <c r="I162" s="179">
        <f>$D$162*LOG(C162/$D$137)+$I$168</f>
        <v>65.705295323346633</v>
      </c>
      <c r="J162" s="179">
        <f>$D$162*LOG(C162/$D$137)+$J$168</f>
        <v>66.75246170774092</v>
      </c>
      <c r="K162" s="179">
        <f>$D$162*LOG(C162/$D$137)+$K$168</f>
        <v>75.952267156022685</v>
      </c>
      <c r="L162" s="179">
        <f>$D$162*LOG(C162/$D$137)+$L$168</f>
        <v>57.305337621723567</v>
      </c>
      <c r="M162" s="179">
        <f>$D$162*LOG(C162/$D$137)+$M$168</f>
        <v>66.279586548762197</v>
      </c>
      <c r="N162" s="179">
        <f>$D$162*LOG(C162/$D$137)+$N$168</f>
        <v>66.895466377088368</v>
      </c>
      <c r="O162" s="11"/>
      <c r="P162" s="11"/>
      <c r="Q162" s="11"/>
      <c r="R162" s="11"/>
      <c r="S162" s="11"/>
      <c r="T162" s="11"/>
      <c r="U162" s="12"/>
      <c r="V162" s="46"/>
    </row>
    <row r="163" spans="1:23">
      <c r="A163" s="46"/>
      <c r="B163" s="142"/>
      <c r="C163" s="174">
        <v>150</v>
      </c>
      <c r="D163" s="176">
        <f t="shared" ref="D163:D168" si="16">$G$136*C163+$I$136</f>
        <v>34.375</v>
      </c>
      <c r="E163" s="179">
        <f>$D$163*LOG(C163/$D$137)+$E$168</f>
        <v>73.107873569869994</v>
      </c>
      <c r="F163" s="179">
        <f>$D$163*LOG(C163/$D$137)+$F$168</f>
        <v>74.489560145501741</v>
      </c>
      <c r="G163" s="179">
        <f>$D$163*LOG(C163/$D$137)+$G$168</f>
        <v>73.566963162647681</v>
      </c>
      <c r="H163" s="179">
        <f>$D$163*LOG(C163/$D$137)+$H$168</f>
        <v>74.209394373188758</v>
      </c>
      <c r="I163" s="179">
        <f>$D$163*LOG(C163/$D$137)+$I$168</f>
        <v>72.771492096051844</v>
      </c>
      <c r="J163" s="179">
        <f>$D$163*LOG(C163/$D$137)+$J$168</f>
        <v>73.818658480446132</v>
      </c>
      <c r="K163" s="179">
        <f>$D$163*LOG(C163/$D$137)+$K$168</f>
        <v>83.018463928727897</v>
      </c>
      <c r="L163" s="179">
        <f>$D$163*LOG(C163/$D$137)+$L$168</f>
        <v>64.371534394428778</v>
      </c>
      <c r="M163" s="179">
        <f>$D$163*LOG(C163/$D$137)+$M$168</f>
        <v>73.345783321467408</v>
      </c>
      <c r="N163" s="179">
        <f>$D$163*LOG(C163/$D$137)+$N$168</f>
        <v>73.96166314979358</v>
      </c>
      <c r="O163" s="11"/>
      <c r="P163" s="11"/>
      <c r="Q163" s="11"/>
      <c r="R163" s="11"/>
      <c r="S163" s="11"/>
      <c r="T163" s="11"/>
      <c r="U163" s="12"/>
      <c r="V163" s="46"/>
    </row>
    <row r="164" spans="1:23">
      <c r="A164" s="46"/>
      <c r="B164" s="142"/>
      <c r="C164" s="174">
        <v>200</v>
      </c>
      <c r="D164" s="176">
        <f t="shared" si="16"/>
        <v>37.5</v>
      </c>
      <c r="E164" s="179">
        <f>$D$164*LOG(C164/$D$137)+$E$168</f>
        <v>76.990332343247729</v>
      </c>
      <c r="F164" s="179">
        <f>$D$164*LOG(C164/$D$137)+$F$168</f>
        <v>78.372018918879476</v>
      </c>
      <c r="G164" s="179">
        <f>$D$164*LOG(C164/$D$137)+$G$168</f>
        <v>77.449421936025416</v>
      </c>
      <c r="H164" s="179">
        <f>$D$164*LOG(C164/$D$137)+$H$168</f>
        <v>78.091853146566493</v>
      </c>
      <c r="I164" s="179">
        <f>$D$164*LOG(C164/$D$137)+$I$168</f>
        <v>76.653950869429579</v>
      </c>
      <c r="J164" s="179">
        <f>$D$164*LOG(C164/$D$137)+$J$168</f>
        <v>77.701117253823867</v>
      </c>
      <c r="K164" s="179">
        <f>$D$164*LOG(C164/$D$137)+$K$168</f>
        <v>86.900922702105632</v>
      </c>
      <c r="L164" s="179">
        <f>$D$164*LOG(C164/$D$137)+$L$168</f>
        <v>68.253993167806513</v>
      </c>
      <c r="M164" s="179">
        <f>$D$164*LOG(C164/$D$137)+$M$168</f>
        <v>77.228242094845143</v>
      </c>
      <c r="N164" s="179">
        <f>$D$164*LOG(C164/$D$137)+$N$168</f>
        <v>77.844121923171315</v>
      </c>
      <c r="O164" s="11"/>
      <c r="P164" s="11"/>
      <c r="Q164" s="11"/>
      <c r="R164" s="11"/>
      <c r="S164" s="11"/>
      <c r="T164" s="11"/>
      <c r="U164" s="12"/>
      <c r="V164" s="46"/>
    </row>
    <row r="165" spans="1:23">
      <c r="A165" s="46"/>
      <c r="B165" s="142"/>
      <c r="C165" s="174">
        <v>250</v>
      </c>
      <c r="D165" s="176">
        <f t="shared" si="16"/>
        <v>40.625</v>
      </c>
      <c r="E165" s="179">
        <f>$D$165*LOG(C165/$D$137)+$E$168</f>
        <v>80.51499132416744</v>
      </c>
      <c r="F165" s="179">
        <f>$D$165*LOG(C165/$D$137)+$F$168</f>
        <v>81.896677899799187</v>
      </c>
      <c r="G165" s="179">
        <f>$D$165*LOG(C165/$D$137)+$G$168</f>
        <v>80.974080916945127</v>
      </c>
      <c r="H165" s="179">
        <f>$D$165*LOG(C165/$D$137)+$H$168</f>
        <v>81.616512127486203</v>
      </c>
      <c r="I165" s="179">
        <f>$D$165*LOG(C165/$D$137)+$I$168</f>
        <v>80.178609850349289</v>
      </c>
      <c r="J165" s="179">
        <f>$D$165*LOG(C165/$D$137)+$J$168</f>
        <v>81.225776234743577</v>
      </c>
      <c r="K165" s="179">
        <f>$D$165*LOG(C165/$D$137)+$K$168</f>
        <v>90.425581683025342</v>
      </c>
      <c r="L165" s="179">
        <f>$D$165*LOG(C165/$D$137)+$L$168</f>
        <v>71.778652148726223</v>
      </c>
      <c r="M165" s="179">
        <f>$D$165*LOG(C165/$D$137)+$M$168</f>
        <v>80.752901075764854</v>
      </c>
      <c r="N165" s="179">
        <f>$D$165*LOG(C165/$D$137)+$N$168</f>
        <v>81.368780904091025</v>
      </c>
      <c r="O165" s="11"/>
      <c r="P165" s="11"/>
      <c r="Q165" s="11"/>
      <c r="R165" s="11"/>
      <c r="S165" s="11"/>
      <c r="T165" s="11"/>
      <c r="U165" s="12"/>
      <c r="V165" s="46"/>
    </row>
    <row r="166" spans="1:23">
      <c r="A166" s="46"/>
      <c r="B166" s="142"/>
      <c r="C166" s="174">
        <v>300</v>
      </c>
      <c r="D166" s="176">
        <f t="shared" si="16"/>
        <v>43.75</v>
      </c>
      <c r="E166" s="179">
        <f>$D$166*LOG(C166/$D$137)+$E$168</f>
        <v>83.869704331868633</v>
      </c>
      <c r="F166" s="179">
        <f>$D$166*LOG(C166/$D$137)+$F$168</f>
        <v>85.25139090750038</v>
      </c>
      <c r="G166" s="179">
        <f>$D$166*LOG(C166/$D$137)+$G$168</f>
        <v>84.32879392464632</v>
      </c>
      <c r="H166" s="179">
        <f>$D$166*LOG(C166/$D$137)+$H$168</f>
        <v>84.971225135187396</v>
      </c>
      <c r="I166" s="179">
        <f>$D$166*LOG(C166/$D$137)+$I$168</f>
        <v>83.533322858050482</v>
      </c>
      <c r="J166" s="179">
        <f>$D$166*LOG(C166/$D$137)+$J$168</f>
        <v>84.58048924244477</v>
      </c>
      <c r="K166" s="179">
        <f>$D$166*LOG(C166/$D$137)+$K$168</f>
        <v>93.780294690726535</v>
      </c>
      <c r="L166" s="179">
        <f>$D$166*LOG(C166/$D$137)+$L$168</f>
        <v>75.133365156427416</v>
      </c>
      <c r="M166" s="179">
        <f>$D$166*LOG(C166/$D$137)+$M$168</f>
        <v>84.107614083466046</v>
      </c>
      <c r="N166" s="179">
        <f>$D$166*LOG(C166/$D$137)+$N$168</f>
        <v>84.723493911792218</v>
      </c>
      <c r="O166" s="11"/>
      <c r="P166" s="11"/>
      <c r="Q166" s="11"/>
      <c r="R166" s="11"/>
      <c r="S166" s="11"/>
      <c r="T166" s="11"/>
      <c r="U166" s="12"/>
      <c r="V166" s="46"/>
    </row>
    <row r="167" spans="1:23">
      <c r="A167" s="46"/>
      <c r="B167" s="142"/>
      <c r="C167" s="174">
        <v>350</v>
      </c>
      <c r="D167" s="176">
        <f t="shared" si="16"/>
        <v>46.875</v>
      </c>
      <c r="E167" s="179">
        <f>$D$167*LOG(C167/$D$137)+$E$168</f>
        <v>87.145809982820055</v>
      </c>
      <c r="F167" s="179">
        <f>$D$167*LOG(C167/$D$137)+$F$168</f>
        <v>88.527496558451801</v>
      </c>
      <c r="G167" s="179">
        <f>$D$167*LOG(C167/$D$137)+$G$168</f>
        <v>87.604899575597742</v>
      </c>
      <c r="H167" s="179">
        <f>$D$167*LOG(C167/$D$137)+$H$168</f>
        <v>88.247330786138818</v>
      </c>
      <c r="I167" s="179">
        <f>$D$167*LOG(C167/$D$137)+$I$168</f>
        <v>86.809428509001904</v>
      </c>
      <c r="J167" s="179">
        <f>$D$167*LOG(C167/$D$137)+$J$168</f>
        <v>87.856594893396192</v>
      </c>
      <c r="K167" s="179">
        <f>$D$167*LOG(C167/$D$137)+$K$168</f>
        <v>97.056400341677957</v>
      </c>
      <c r="L167" s="179">
        <f>$D$167*LOG(C167/$D$137)+$L$168</f>
        <v>78.409470807378838</v>
      </c>
      <c r="M167" s="179">
        <f>$D$167*LOG(C167/$D$137)+$M$168</f>
        <v>87.383719734417468</v>
      </c>
      <c r="N167" s="179">
        <f>$D$167*LOG(C167/$D$137)+$N$168</f>
        <v>87.99959956274364</v>
      </c>
      <c r="O167" s="11"/>
      <c r="P167" s="11"/>
      <c r="Q167" s="11"/>
      <c r="R167" s="11"/>
      <c r="S167" s="11"/>
      <c r="T167" s="11"/>
      <c r="U167" s="12"/>
      <c r="V167" s="46"/>
    </row>
    <row r="168" spans="1:23">
      <c r="A168" s="46"/>
      <c r="B168" s="155" t="s">
        <v>385</v>
      </c>
      <c r="C168" s="174">
        <v>271</v>
      </c>
      <c r="D168" s="176">
        <f t="shared" si="16"/>
        <v>41.9375</v>
      </c>
      <c r="E168" s="179">
        <f>E126</f>
        <v>81.938055913638649</v>
      </c>
      <c r="F168" s="179">
        <f t="shared" ref="F168:N168" si="17">F126</f>
        <v>83.319742489270396</v>
      </c>
      <c r="G168" s="179">
        <f t="shared" si="17"/>
        <v>82.397145506416337</v>
      </c>
      <c r="H168" s="179">
        <f t="shared" si="17"/>
        <v>83.039576716957413</v>
      </c>
      <c r="I168" s="179">
        <f t="shared" si="17"/>
        <v>81.601674439820499</v>
      </c>
      <c r="J168" s="179">
        <f t="shared" si="17"/>
        <v>82.648840824214787</v>
      </c>
      <c r="K168" s="179">
        <f t="shared" si="17"/>
        <v>91.848646272496552</v>
      </c>
      <c r="L168" s="179">
        <f t="shared" si="17"/>
        <v>73.201716738197433</v>
      </c>
      <c r="M168" s="179">
        <f t="shared" si="17"/>
        <v>82.175965665236063</v>
      </c>
      <c r="N168" s="179">
        <f t="shared" si="17"/>
        <v>82.791845493562235</v>
      </c>
      <c r="O168" s="11"/>
      <c r="P168" s="11"/>
      <c r="Q168" s="11"/>
      <c r="R168" s="11"/>
      <c r="S168" s="11"/>
      <c r="T168" s="11"/>
      <c r="U168" s="12"/>
      <c r="V168" s="46"/>
    </row>
    <row r="169" spans="1:23" ht="15" customHeight="1">
      <c r="A169" s="46"/>
      <c r="B169" s="10"/>
      <c r="C169" s="11"/>
      <c r="D169" s="11"/>
      <c r="E169" s="11"/>
      <c r="F169" s="11"/>
      <c r="G169" s="11"/>
      <c r="H169" s="11"/>
      <c r="I169" s="11"/>
      <c r="J169" s="11"/>
      <c r="K169" s="11"/>
      <c r="L169" s="11"/>
      <c r="M169" s="11"/>
      <c r="N169" s="11"/>
      <c r="O169" s="11"/>
      <c r="P169" s="11"/>
      <c r="Q169" s="11"/>
      <c r="R169" s="11"/>
      <c r="S169" s="11"/>
      <c r="T169" s="11"/>
      <c r="U169" s="12"/>
      <c r="V169" s="46"/>
    </row>
    <row r="170" spans="1:23" ht="14.5" customHeight="1">
      <c r="A170" s="46"/>
      <c r="B170" s="10"/>
      <c r="C170" s="559"/>
      <c r="D170" s="553"/>
      <c r="E170" s="555" t="s">
        <v>360</v>
      </c>
      <c r="F170" s="501"/>
      <c r="G170" s="501"/>
      <c r="H170" s="501"/>
      <c r="I170" s="501"/>
      <c r="J170" s="501"/>
      <c r="K170" s="501"/>
      <c r="L170" s="454"/>
      <c r="M170" s="455"/>
      <c r="N170" s="457"/>
      <c r="O170" s="11"/>
      <c r="P170" s="11"/>
      <c r="Q170" s="11"/>
      <c r="R170" s="11"/>
      <c r="S170" s="11"/>
      <c r="T170" s="11"/>
      <c r="U170" s="12"/>
      <c r="V170" s="46"/>
    </row>
    <row r="171" spans="1:23" ht="43.5">
      <c r="A171" s="46"/>
      <c r="B171" s="10"/>
      <c r="C171" s="597" t="s">
        <v>266</v>
      </c>
      <c r="D171" s="405" t="s">
        <v>338</v>
      </c>
      <c r="E171" s="167" t="s">
        <v>350</v>
      </c>
      <c r="F171" s="351" t="s">
        <v>713</v>
      </c>
      <c r="G171" s="165" t="s">
        <v>351</v>
      </c>
      <c r="H171" s="165" t="s">
        <v>352</v>
      </c>
      <c r="I171" s="165" t="s">
        <v>353</v>
      </c>
      <c r="J171" s="165" t="s">
        <v>347</v>
      </c>
      <c r="K171" s="165" t="s">
        <v>348</v>
      </c>
      <c r="L171" s="165" t="s">
        <v>354</v>
      </c>
      <c r="M171" s="405" t="s">
        <v>355</v>
      </c>
      <c r="N171" s="165" t="s">
        <v>356</v>
      </c>
      <c r="O171" s="11"/>
      <c r="P171" s="11"/>
      <c r="Q171" s="11"/>
      <c r="R171" s="11"/>
      <c r="S171" s="11"/>
      <c r="T171" s="11"/>
      <c r="U171" s="12"/>
      <c r="V171" s="46"/>
    </row>
    <row r="172" spans="1:23">
      <c r="A172" s="46"/>
      <c r="B172" s="10"/>
      <c r="C172" s="174">
        <v>80</v>
      </c>
      <c r="D172" s="176">
        <f>$G$136*C172+$I$136</f>
        <v>30</v>
      </c>
      <c r="E172" s="179">
        <f>$D$172*LOG(C172/$D$137)+$E$178</f>
        <v>65.249864336688532</v>
      </c>
      <c r="F172" s="179">
        <f>$D$172*LOG(C172/$D$137)+$F$178</f>
        <v>66.631550912320279</v>
      </c>
      <c r="G172" s="179">
        <f>$D$172*LOG(C172/$D$137)+$G$178</f>
        <v>65.708953929466219</v>
      </c>
      <c r="H172" s="179">
        <f>$D$172*LOG(C172/$D$137)+$H$178</f>
        <v>66.351385140007295</v>
      </c>
      <c r="I172" s="179">
        <f>$D$172*LOG(C172/$D$137)+$I$178</f>
        <v>64.913482862870381</v>
      </c>
      <c r="J172" s="179">
        <f>$D$172*LOG(C172/$D$137)+$J$178</f>
        <v>65.960649247264669</v>
      </c>
      <c r="K172" s="179">
        <f>$D$172*LOG(C172/$D$137)+$K$178</f>
        <v>75.160454695546434</v>
      </c>
      <c r="L172" s="179">
        <f>$D$172*LOG(C172/$D$137)+$L$178</f>
        <v>56.513525161247316</v>
      </c>
      <c r="M172" s="179">
        <f>$D$172*LOG(C172/$D$137)+$M$178</f>
        <v>65.487774088285946</v>
      </c>
      <c r="N172" s="179">
        <f>$D$172*LOG(C172/$D$137)+$N$178</f>
        <v>66.103653916612117</v>
      </c>
      <c r="O172" s="11"/>
      <c r="P172" s="11"/>
      <c r="Q172" s="11"/>
      <c r="R172" s="11"/>
      <c r="S172" s="11"/>
      <c r="T172" s="11"/>
      <c r="U172" s="12"/>
      <c r="V172" s="46"/>
    </row>
    <row r="173" spans="1:23">
      <c r="A173" s="46"/>
      <c r="B173" s="10"/>
      <c r="C173" s="174">
        <v>150</v>
      </c>
      <c r="D173" s="176">
        <f t="shared" ref="D173:D178" si="18">$G$136*C173+$I$136</f>
        <v>34.375</v>
      </c>
      <c r="E173" s="179">
        <f>$D$173*LOG(C173/$D$137)+$E$178</f>
        <v>72.316061109393743</v>
      </c>
      <c r="F173" s="179">
        <f>$D$173*LOG(C173/$D$137)+$F$178</f>
        <v>73.69774768502549</v>
      </c>
      <c r="G173" s="179">
        <f>$D$173*LOG(C173/$D$137)+$G$178</f>
        <v>72.77515070217143</v>
      </c>
      <c r="H173" s="179">
        <f>$D$173*LOG(C173/$D$137)+$H$178</f>
        <v>73.417581912712507</v>
      </c>
      <c r="I173" s="179">
        <f>$D$173*LOG(C173/$D$137)+$I$178</f>
        <v>71.979679635575593</v>
      </c>
      <c r="J173" s="179">
        <f>$D$173*LOG(C173/$D$137)+$J$178</f>
        <v>73.026846019969881</v>
      </c>
      <c r="K173" s="179">
        <f>$D$173*LOG(C173/$D$137)+$K$178</f>
        <v>82.226651468251646</v>
      </c>
      <c r="L173" s="179">
        <f>$D$173*LOG(C173/$D$137)+$L$178</f>
        <v>63.579721933952527</v>
      </c>
      <c r="M173" s="179">
        <f>$D$173*LOG(C173/$D$137)+$M$178</f>
        <v>72.553970860991157</v>
      </c>
      <c r="N173" s="179">
        <f>$D$173*LOG(C173/$D$137)+$N$178</f>
        <v>73.169850689317329</v>
      </c>
      <c r="O173" s="11"/>
      <c r="P173" s="11"/>
      <c r="Q173" s="11"/>
      <c r="R173" s="11"/>
      <c r="S173" s="11"/>
      <c r="T173" s="11"/>
      <c r="U173" s="12"/>
      <c r="V173" s="46"/>
    </row>
    <row r="174" spans="1:23">
      <c r="A174" s="46"/>
      <c r="B174" s="10"/>
      <c r="C174" s="174">
        <v>200</v>
      </c>
      <c r="D174" s="176">
        <f t="shared" si="18"/>
        <v>37.5</v>
      </c>
      <c r="E174" s="179">
        <f>$D$174*LOG(C174/$D$137)+$E$178</f>
        <v>76.198519882771478</v>
      </c>
      <c r="F174" s="179">
        <f>$D$174*LOG(C174/$D$137)+$F$178</f>
        <v>77.580206458403225</v>
      </c>
      <c r="G174" s="179">
        <f>$D$174*LOG(C174/$D$137)+$G$178</f>
        <v>76.657609475549165</v>
      </c>
      <c r="H174" s="179">
        <f>$D$174*LOG(C174/$D$137)+$H$178</f>
        <v>77.300040686090242</v>
      </c>
      <c r="I174" s="179">
        <f>$D$174*LOG(C174/$D$137)+$I$178</f>
        <v>75.862138408953328</v>
      </c>
      <c r="J174" s="179">
        <f>$D$174*LOG(C174/$D$137)+$J$178</f>
        <v>76.909304793347616</v>
      </c>
      <c r="K174" s="179">
        <f>$D$174*LOG(C174/$D$137)+$K$178</f>
        <v>86.109110241629381</v>
      </c>
      <c r="L174" s="179">
        <f>$D$174*LOG(C174/$D$137)+$L$178</f>
        <v>67.462180707330262</v>
      </c>
      <c r="M174" s="179">
        <f>$D$174*LOG(C174/$D$137)+$M$178</f>
        <v>76.436429634368892</v>
      </c>
      <c r="N174" s="179">
        <f>$D$174*LOG(C174/$D$137)+$N$178</f>
        <v>77.052309462695064</v>
      </c>
      <c r="O174" s="11"/>
      <c r="P174" s="11"/>
      <c r="Q174" s="11"/>
      <c r="R174" s="11"/>
      <c r="S174" s="11"/>
      <c r="T174" s="11"/>
      <c r="U174" s="12"/>
      <c r="V174" s="46"/>
      <c r="W174" s="46"/>
    </row>
    <row r="175" spans="1:23">
      <c r="A175" s="46"/>
      <c r="B175" s="10"/>
      <c r="C175" s="174">
        <v>250</v>
      </c>
      <c r="D175" s="176">
        <f t="shared" si="18"/>
        <v>40.625</v>
      </c>
      <c r="E175" s="179">
        <f>$D$175*LOG(C175/$D$137)+$E$178</f>
        <v>79.723178863691189</v>
      </c>
      <c r="F175" s="179">
        <f>$D$175*LOG(C175/$D$137)+$F$178</f>
        <v>81.104865439322936</v>
      </c>
      <c r="G175" s="179">
        <f>$D$175*LOG(C175/$D$137)+$G$178</f>
        <v>80.182268456468876</v>
      </c>
      <c r="H175" s="179">
        <f>$D$175*LOG(C175/$D$137)+$H$178</f>
        <v>80.824699667009952</v>
      </c>
      <c r="I175" s="179">
        <f>$D$175*LOG(C175/$D$137)+$I$178</f>
        <v>79.386797389873038</v>
      </c>
      <c r="J175" s="179">
        <f>$D$175*LOG(C175/$D$137)+$J$178</f>
        <v>80.433963774267326</v>
      </c>
      <c r="K175" s="179">
        <f>$D$175*LOG(C175/$D$137)+$K$178</f>
        <v>89.633769222549091</v>
      </c>
      <c r="L175" s="179">
        <f>$D$175*LOG(C175/$D$137)+$L$178</f>
        <v>70.986839688249972</v>
      </c>
      <c r="M175" s="179">
        <f>$D$175*LOG(C175/$D$137)+$M$178</f>
        <v>79.961088615288602</v>
      </c>
      <c r="N175" s="179">
        <f>$D$175*LOG(C175/$D$137)+$N$178</f>
        <v>80.576968443614774</v>
      </c>
      <c r="O175" s="11"/>
      <c r="P175" s="11"/>
      <c r="Q175" s="11"/>
      <c r="R175" s="11"/>
      <c r="S175" s="11"/>
      <c r="T175" s="11"/>
      <c r="U175" s="12"/>
      <c r="V175" s="46"/>
      <c r="W175" s="46"/>
    </row>
    <row r="176" spans="1:23">
      <c r="A176" s="46"/>
      <c r="B176" s="116"/>
      <c r="C176" s="174">
        <v>300</v>
      </c>
      <c r="D176" s="176">
        <f t="shared" si="18"/>
        <v>43.75</v>
      </c>
      <c r="E176" s="179">
        <f>$D$176*LOG(C176/$D$137)+$E$178</f>
        <v>83.077891871392382</v>
      </c>
      <c r="F176" s="179">
        <f>$D$176*LOG(C176/$D$137)+$F$178</f>
        <v>84.459578447024128</v>
      </c>
      <c r="G176" s="179">
        <f>$D$176*LOG(C176/$D$137)+$G$178</f>
        <v>83.536981464170069</v>
      </c>
      <c r="H176" s="179">
        <f>$D$176*LOG(C176/$D$137)+$H$178</f>
        <v>84.179412674711145</v>
      </c>
      <c r="I176" s="179">
        <f>$D$176*LOG(C176/$D$137)+$I$178</f>
        <v>82.741510397574231</v>
      </c>
      <c r="J176" s="179">
        <f>$D$176*LOG(C176/$D$137)+$J$178</f>
        <v>83.788676781968519</v>
      </c>
      <c r="K176" s="179">
        <f>$D$176*LOG(C176/$D$137)+$K$178</f>
        <v>92.988482230250284</v>
      </c>
      <c r="L176" s="179">
        <f>$D$176*LOG(C176/$D$137)+$L$178</f>
        <v>74.341552695951165</v>
      </c>
      <c r="M176" s="179">
        <f>$D$176*LOG(C176/$D$137)+$M$178</f>
        <v>83.315801622989795</v>
      </c>
      <c r="N176" s="179">
        <f>$D$176*LOG(C176/$D$137)+$N$178</f>
        <v>83.931681451315967</v>
      </c>
      <c r="O176" s="11"/>
      <c r="P176" s="11"/>
      <c r="Q176" s="11"/>
      <c r="R176" s="11"/>
      <c r="S176" s="11"/>
      <c r="T176" s="11"/>
      <c r="U176" s="12"/>
      <c r="V176" s="46"/>
      <c r="W176" s="46"/>
    </row>
    <row r="177" spans="1:22">
      <c r="A177" s="46"/>
      <c r="B177" s="116"/>
      <c r="C177" s="174">
        <v>350</v>
      </c>
      <c r="D177" s="176">
        <f t="shared" si="18"/>
        <v>46.875</v>
      </c>
      <c r="E177" s="179">
        <f>$D$177*LOG(C177/$D$137)+$E$178</f>
        <v>86.353997522343803</v>
      </c>
      <c r="F177" s="179">
        <f>$D$177*LOG(C177/$D$137)+$F$178</f>
        <v>87.73568409797555</v>
      </c>
      <c r="G177" s="179">
        <f>$D$177*LOG(C177/$D$137)+$G$178</f>
        <v>86.81308711512149</v>
      </c>
      <c r="H177" s="179">
        <f>$D$177*LOG(C177/$D$137)+$H$178</f>
        <v>87.455518325662567</v>
      </c>
      <c r="I177" s="179">
        <f>$D$177*LOG(C177/$D$137)+$I$178</f>
        <v>86.017616048525653</v>
      </c>
      <c r="J177" s="179">
        <f>$D$177*LOG(C177/$D$137)+$J$178</f>
        <v>87.064782432919941</v>
      </c>
      <c r="K177" s="179">
        <f>$D$177*LOG(C177/$D$137)+$K$178</f>
        <v>96.264587881201706</v>
      </c>
      <c r="L177" s="179">
        <f>$D$177*LOG(C177/$D$137)+$L$178</f>
        <v>77.617658346902587</v>
      </c>
      <c r="M177" s="179">
        <f>$D$177*LOG(C177/$D$137)+$M$178</f>
        <v>86.591907273941217</v>
      </c>
      <c r="N177" s="179">
        <f>$D$177*LOG(C177/$D$137)+$N$178</f>
        <v>87.207787102267389</v>
      </c>
      <c r="O177" s="11"/>
      <c r="P177" s="11"/>
      <c r="Q177" s="11"/>
      <c r="R177" s="11"/>
      <c r="S177" s="11"/>
      <c r="T177" s="11"/>
      <c r="U177" s="12"/>
      <c r="V177" s="46"/>
    </row>
    <row r="178" spans="1:22">
      <c r="A178" s="46"/>
      <c r="B178" s="155" t="s">
        <v>385</v>
      </c>
      <c r="C178" s="174">
        <v>271</v>
      </c>
      <c r="D178" s="176">
        <f t="shared" si="18"/>
        <v>41.9375</v>
      </c>
      <c r="E178" s="179">
        <f>E127</f>
        <v>81.146243453162398</v>
      </c>
      <c r="F178" s="179">
        <f t="shared" ref="F178:N178" si="19">F127</f>
        <v>82.527930028794145</v>
      </c>
      <c r="G178" s="179">
        <f t="shared" si="19"/>
        <v>81.605333045940085</v>
      </c>
      <c r="H178" s="179">
        <f t="shared" si="19"/>
        <v>82.247764256481162</v>
      </c>
      <c r="I178" s="179">
        <f t="shared" si="19"/>
        <v>80.809861979344248</v>
      </c>
      <c r="J178" s="179">
        <f t="shared" si="19"/>
        <v>81.857028363738536</v>
      </c>
      <c r="K178" s="179">
        <f t="shared" si="19"/>
        <v>91.056833812020301</v>
      </c>
      <c r="L178" s="179">
        <f t="shared" si="19"/>
        <v>72.409904277721182</v>
      </c>
      <c r="M178" s="179">
        <f t="shared" si="19"/>
        <v>81.384153204759812</v>
      </c>
      <c r="N178" s="179">
        <f t="shared" si="19"/>
        <v>82.000033033085984</v>
      </c>
      <c r="O178" s="11"/>
      <c r="P178" s="11"/>
      <c r="Q178" s="11"/>
      <c r="R178" s="11"/>
      <c r="S178" s="11"/>
      <c r="T178" s="11"/>
      <c r="U178" s="12"/>
      <c r="V178" s="46"/>
    </row>
    <row r="179" spans="1:22">
      <c r="A179" s="46"/>
      <c r="B179" s="116"/>
      <c r="C179" s="117"/>
      <c r="D179" s="184"/>
      <c r="E179" s="185"/>
      <c r="F179" s="185"/>
      <c r="G179" s="185"/>
      <c r="H179" s="185"/>
      <c r="I179" s="185"/>
      <c r="J179" s="185"/>
      <c r="K179" s="185"/>
      <c r="L179" s="185"/>
      <c r="M179" s="185"/>
      <c r="N179" s="185"/>
      <c r="O179" s="11"/>
      <c r="P179" s="11"/>
      <c r="Q179" s="11"/>
      <c r="R179" s="11"/>
      <c r="S179" s="11"/>
      <c r="T179" s="11"/>
      <c r="U179" s="12"/>
      <c r="V179" s="46"/>
    </row>
    <row r="180" spans="1:22" ht="16.5">
      <c r="A180" s="46"/>
      <c r="B180" s="116" t="s">
        <v>361</v>
      </c>
      <c r="C180" s="117"/>
      <c r="D180" s="184"/>
      <c r="E180" s="185"/>
      <c r="F180" s="185"/>
      <c r="G180" s="185"/>
      <c r="H180" s="185"/>
      <c r="I180" s="185"/>
      <c r="J180" s="185"/>
      <c r="K180" s="185"/>
      <c r="L180" s="185"/>
      <c r="M180" s="185"/>
      <c r="N180" s="185"/>
      <c r="O180" s="11"/>
      <c r="P180" s="11"/>
      <c r="Q180" s="11"/>
      <c r="R180" s="11"/>
      <c r="S180" s="11"/>
      <c r="T180" s="11"/>
      <c r="U180" s="12"/>
      <c r="V180" s="46"/>
    </row>
    <row r="181" spans="1:22">
      <c r="A181" s="46"/>
      <c r="B181" s="116" t="s">
        <v>395</v>
      </c>
      <c r="C181" s="117"/>
      <c r="D181" s="184"/>
      <c r="E181" s="185"/>
      <c r="F181" s="185"/>
      <c r="G181" s="185"/>
      <c r="H181" s="185"/>
      <c r="I181" s="185"/>
      <c r="J181" s="185"/>
      <c r="K181" s="185"/>
      <c r="L181" s="185"/>
      <c r="M181" s="185"/>
      <c r="N181" s="185"/>
      <c r="O181" s="11"/>
      <c r="P181" s="11"/>
      <c r="Q181" s="11"/>
      <c r="R181" s="11"/>
      <c r="S181" s="11"/>
      <c r="T181" s="11"/>
      <c r="U181" s="12"/>
      <c r="V181" s="46"/>
    </row>
    <row r="182" spans="1:22">
      <c r="A182" s="46"/>
      <c r="B182" s="116" t="s">
        <v>362</v>
      </c>
      <c r="C182" s="117"/>
      <c r="D182" s="184"/>
      <c r="E182" s="185"/>
      <c r="F182" s="185"/>
      <c r="G182" s="185"/>
      <c r="H182" s="185"/>
      <c r="I182" s="185"/>
      <c r="J182" s="185"/>
      <c r="K182" s="185"/>
      <c r="L182" s="185"/>
      <c r="M182" s="185"/>
      <c r="N182" s="185"/>
      <c r="O182" s="11"/>
      <c r="P182" s="11"/>
      <c r="Q182" s="11"/>
      <c r="R182" s="11"/>
      <c r="S182" s="11"/>
      <c r="T182" s="11"/>
      <c r="U182" s="12"/>
      <c r="V182" s="46"/>
    </row>
    <row r="183" spans="1:22">
      <c r="A183" s="46"/>
      <c r="B183" s="188" t="s">
        <v>407</v>
      </c>
      <c r="C183" s="76"/>
      <c r="D183" s="66"/>
      <c r="E183" s="76"/>
      <c r="F183" s="11"/>
      <c r="G183" s="11"/>
      <c r="H183" s="11"/>
      <c r="I183" s="11"/>
      <c r="J183" s="11"/>
      <c r="K183" s="11"/>
      <c r="L183" s="11"/>
      <c r="M183" s="11"/>
      <c r="N183" s="11"/>
      <c r="O183" s="11"/>
      <c r="P183" s="11"/>
      <c r="Q183" s="11"/>
      <c r="R183" s="11"/>
      <c r="S183" s="11"/>
      <c r="T183" s="11"/>
      <c r="U183" s="12"/>
      <c r="V183" s="46"/>
    </row>
    <row r="184" spans="1:22">
      <c r="A184" s="46"/>
      <c r="B184" s="116"/>
      <c r="C184" s="76"/>
      <c r="D184" s="66"/>
      <c r="E184" s="76"/>
      <c r="F184" s="11"/>
      <c r="G184" s="11"/>
      <c r="H184" s="11"/>
      <c r="I184" s="11"/>
      <c r="J184" s="11"/>
      <c r="K184" s="11"/>
      <c r="L184" s="11"/>
      <c r="M184" s="11"/>
      <c r="N184" s="11"/>
      <c r="O184" s="11"/>
      <c r="P184" s="11"/>
      <c r="Q184" s="11"/>
      <c r="R184" s="11"/>
      <c r="S184" s="11"/>
      <c r="T184" s="11"/>
      <c r="U184" s="12"/>
      <c r="V184" s="46"/>
    </row>
    <row r="185" spans="1:22" ht="16.5">
      <c r="A185" s="46"/>
      <c r="B185" s="116" t="s">
        <v>412</v>
      </c>
      <c r="C185" s="76"/>
      <c r="D185" s="66"/>
      <c r="E185" s="76"/>
      <c r="F185" s="11"/>
      <c r="G185" s="11"/>
      <c r="H185" s="11"/>
      <c r="I185" s="11"/>
      <c r="J185" s="11"/>
      <c r="K185" s="11"/>
      <c r="L185" s="11"/>
      <c r="M185" s="11"/>
      <c r="N185" s="11"/>
      <c r="O185" s="11"/>
      <c r="P185" s="11"/>
      <c r="Q185" s="11"/>
      <c r="R185" s="11"/>
      <c r="S185" s="11"/>
      <c r="T185" s="11"/>
      <c r="U185" s="12"/>
      <c r="V185" s="46"/>
    </row>
    <row r="186" spans="1:22">
      <c r="A186" s="46"/>
      <c r="B186" s="116"/>
      <c r="C186" s="11"/>
      <c r="D186" s="66"/>
      <c r="E186" s="561" t="s">
        <v>425</v>
      </c>
      <c r="F186" s="449"/>
      <c r="G186" s="449"/>
      <c r="H186" s="450"/>
      <c r="I186" s="563" t="s">
        <v>426</v>
      </c>
      <c r="J186" s="444"/>
      <c r="K186" s="445"/>
      <c r="L186" s="567" t="s">
        <v>427</v>
      </c>
      <c r="M186" s="444"/>
      <c r="N186" s="444"/>
      <c r="O186" s="444"/>
      <c r="P186" s="445"/>
      <c r="Q186" s="11"/>
      <c r="R186" s="11"/>
      <c r="S186" s="11"/>
      <c r="T186" s="11"/>
      <c r="U186" s="12"/>
      <c r="V186" s="46"/>
    </row>
    <row r="187" spans="1:22" ht="16.5">
      <c r="A187" s="46"/>
      <c r="B187" s="116"/>
      <c r="C187" s="11"/>
      <c r="D187" s="66"/>
      <c r="E187" s="158" t="s">
        <v>366</v>
      </c>
      <c r="F187" s="11"/>
      <c r="G187" s="189">
        <f>E142</f>
        <v>77.233216141466642</v>
      </c>
      <c r="H187" s="113" t="s">
        <v>28</v>
      </c>
      <c r="I187" s="11"/>
      <c r="J187" s="236">
        <f>E148-30*LOG(271/80)</f>
        <v>77.233216141466642</v>
      </c>
      <c r="K187" s="15" t="s">
        <v>28</v>
      </c>
      <c r="L187" s="11" t="s">
        <v>423</v>
      </c>
      <c r="M187" s="11"/>
      <c r="N187" s="11"/>
      <c r="O187" s="11"/>
      <c r="P187" s="11"/>
      <c r="Q187" s="11"/>
      <c r="R187" s="11"/>
      <c r="S187" s="11"/>
      <c r="T187" s="11"/>
      <c r="U187" s="12"/>
      <c r="V187" s="46"/>
    </row>
    <row r="188" spans="1:22" ht="16.5">
      <c r="A188" s="46"/>
      <c r="B188" s="116"/>
      <c r="C188" s="11"/>
      <c r="D188" s="66"/>
      <c r="E188" s="158" t="s">
        <v>367</v>
      </c>
      <c r="F188" s="11"/>
      <c r="G188" s="189">
        <f>E145</f>
        <v>91.706530668469298</v>
      </c>
      <c r="H188" s="113" t="s">
        <v>28</v>
      </c>
      <c r="I188" s="11"/>
      <c r="J188" s="236">
        <f>E148-50*LOG(271/250)</f>
        <v>91.378131147822103</v>
      </c>
      <c r="K188" s="15" t="s">
        <v>28</v>
      </c>
      <c r="L188" s="11" t="s">
        <v>424</v>
      </c>
      <c r="M188" s="11"/>
      <c r="N188" s="11"/>
      <c r="O188" s="11"/>
      <c r="P188" s="11"/>
      <c r="Q188" s="11"/>
      <c r="R188" s="11"/>
      <c r="S188" s="11"/>
      <c r="T188" s="11"/>
      <c r="U188" s="12"/>
      <c r="V188" s="46"/>
    </row>
    <row r="189" spans="1:22">
      <c r="A189" s="46"/>
      <c r="B189" s="119"/>
      <c r="C189" s="18"/>
      <c r="D189" s="137"/>
      <c r="E189" s="120"/>
      <c r="F189" s="18"/>
      <c r="G189" s="18"/>
      <c r="H189" s="18"/>
      <c r="I189" s="18"/>
      <c r="J189" s="18"/>
      <c r="K189" s="18"/>
      <c r="L189" s="18"/>
      <c r="M189" s="18"/>
      <c r="N189" s="18"/>
      <c r="O189" s="18"/>
      <c r="P189" s="18"/>
      <c r="Q189" s="18"/>
      <c r="R189" s="18"/>
      <c r="S189" s="18"/>
      <c r="T189" s="18"/>
      <c r="U189" s="19"/>
      <c r="V189" s="46"/>
    </row>
    <row r="190" spans="1:22">
      <c r="A190" s="46"/>
      <c r="B190" s="20"/>
      <c r="D190" s="6"/>
      <c r="E190" s="20"/>
      <c r="V190" s="46"/>
    </row>
    <row r="191" spans="1:22">
      <c r="B191" s="20"/>
      <c r="D191" s="6"/>
      <c r="E191" s="20"/>
      <c r="V191" s="46"/>
    </row>
    <row r="192" spans="1:22">
      <c r="B192" s="20"/>
      <c r="C192" s="39"/>
      <c r="D192" s="6"/>
      <c r="E192" s="20"/>
      <c r="V192" s="46"/>
    </row>
    <row r="193" spans="4:4">
      <c r="D193" s="4"/>
    </row>
    <row r="194" spans="4:4">
      <c r="D194" s="4"/>
    </row>
    <row r="195" spans="4:4">
      <c r="D195" s="4"/>
    </row>
  </sheetData>
  <pageMargins left="0.7" right="0.7" top="0.75" bottom="0.75" header="0.3" footer="0.3"/>
  <pageSetup scale="45" fitToHeight="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95"/>
  <sheetViews>
    <sheetView zoomScale="90" zoomScaleNormal="90" workbookViewId="0">
      <selection activeCell="H6" sqref="H6"/>
    </sheetView>
  </sheetViews>
  <sheetFormatPr defaultColWidth="9.1796875" defaultRowHeight="14.5"/>
  <cols>
    <col min="1" max="5" width="9.1796875" style="40"/>
    <col min="6" max="6" width="29.7265625" style="40" customWidth="1"/>
    <col min="7" max="7" width="36" style="40" customWidth="1"/>
    <col min="8" max="8" width="15.1796875" style="40" customWidth="1"/>
    <col min="9" max="9" width="23.179687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15" style="40" customWidth="1"/>
    <col min="16" max="16384" width="9.1796875" style="40"/>
  </cols>
  <sheetData>
    <row r="1" spans="1:15">
      <c r="A1" s="46"/>
      <c r="B1" s="7"/>
      <c r="C1" s="8"/>
      <c r="D1" s="8"/>
      <c r="E1" s="8"/>
      <c r="F1" s="8"/>
      <c r="G1" s="8"/>
      <c r="H1" s="8"/>
      <c r="I1" s="8"/>
      <c r="J1" s="8"/>
      <c r="K1" s="8"/>
      <c r="L1" s="8"/>
      <c r="M1" s="8"/>
      <c r="N1" s="8"/>
      <c r="O1" s="9"/>
    </row>
    <row r="2" spans="1:15">
      <c r="A2" s="46"/>
      <c r="B2" s="10"/>
      <c r="C2" s="11"/>
      <c r="D2" s="11"/>
      <c r="E2" s="11"/>
      <c r="F2" s="11"/>
      <c r="G2" s="11"/>
      <c r="H2" s="46" t="s">
        <v>2</v>
      </c>
      <c r="I2" s="11"/>
      <c r="J2" s="11"/>
      <c r="K2" s="11"/>
      <c r="L2" s="11"/>
      <c r="M2" s="11"/>
      <c r="N2" s="11"/>
      <c r="O2" s="12"/>
    </row>
    <row r="3" spans="1:15">
      <c r="A3" s="46"/>
      <c r="B3" s="10"/>
      <c r="C3" s="11"/>
      <c r="D3" s="11"/>
      <c r="E3" s="11"/>
      <c r="F3" s="11"/>
      <c r="G3" s="11"/>
      <c r="H3" s="46" t="s">
        <v>4</v>
      </c>
      <c r="I3" s="11"/>
      <c r="J3" s="11"/>
      <c r="K3" s="11"/>
      <c r="L3" s="11"/>
      <c r="M3" s="11"/>
      <c r="N3" s="11"/>
      <c r="O3" s="12"/>
    </row>
    <row r="4" spans="1:15">
      <c r="A4" s="46"/>
      <c r="B4" s="10"/>
      <c r="C4" s="11"/>
      <c r="D4" s="11"/>
      <c r="E4" s="11"/>
      <c r="F4" s="11"/>
      <c r="G4" s="11"/>
      <c r="H4" s="11"/>
      <c r="I4" s="11"/>
      <c r="J4" s="11"/>
      <c r="K4" s="11"/>
      <c r="L4" s="11"/>
      <c r="M4" s="11"/>
      <c r="N4" s="11"/>
      <c r="O4" s="12"/>
    </row>
    <row r="5" spans="1:15">
      <c r="A5" s="46"/>
      <c r="B5" s="10"/>
      <c r="C5" s="11"/>
      <c r="D5" s="11"/>
      <c r="E5" s="11"/>
      <c r="F5" s="11"/>
      <c r="G5" s="11"/>
      <c r="H5" s="11"/>
      <c r="I5" s="11"/>
      <c r="J5" s="11"/>
      <c r="K5" s="11"/>
      <c r="L5" s="11"/>
      <c r="M5" s="11"/>
      <c r="N5" s="11"/>
      <c r="O5" s="12"/>
    </row>
    <row r="6" spans="1:15">
      <c r="A6" s="46"/>
      <c r="B6" s="10"/>
      <c r="C6" s="13" t="s">
        <v>0</v>
      </c>
      <c r="D6" s="11"/>
      <c r="E6" s="11"/>
      <c r="F6" s="11"/>
      <c r="G6" s="734" t="s">
        <v>559</v>
      </c>
      <c r="H6" s="153" t="s">
        <v>897</v>
      </c>
      <c r="J6" s="11"/>
      <c r="K6" s="11"/>
      <c r="L6" s="14" t="s">
        <v>5</v>
      </c>
      <c r="M6" s="15">
        <f>'Program Overview'!K6</f>
        <v>7</v>
      </c>
      <c r="N6" s="16">
        <f>'Program Overview'!M6</f>
        <v>43752</v>
      </c>
      <c r="O6" s="12"/>
    </row>
    <row r="7" spans="1:15">
      <c r="A7" s="46"/>
      <c r="B7" s="10"/>
      <c r="C7" s="13" t="s">
        <v>1</v>
      </c>
      <c r="D7" s="11"/>
      <c r="E7" s="11"/>
      <c r="F7" s="11"/>
      <c r="G7" s="11"/>
      <c r="H7" s="11"/>
      <c r="I7" s="11"/>
      <c r="J7" s="11"/>
      <c r="K7" s="11"/>
      <c r="L7" s="11"/>
      <c r="M7" s="11"/>
      <c r="N7" s="11"/>
      <c r="O7" s="12"/>
    </row>
    <row r="8" spans="1:15">
      <c r="A8" s="46"/>
      <c r="B8" s="17"/>
      <c r="C8" s="18"/>
      <c r="D8" s="18"/>
      <c r="E8" s="18"/>
      <c r="F8" s="18"/>
      <c r="G8" s="18"/>
      <c r="H8" s="18"/>
      <c r="I8" s="18"/>
      <c r="J8" s="11"/>
      <c r="K8" s="11"/>
      <c r="L8" s="11"/>
      <c r="M8" s="11"/>
      <c r="N8" s="11"/>
      <c r="O8" s="12"/>
    </row>
    <row r="9" spans="1:15">
      <c r="A9" s="46"/>
      <c r="B9" s="37"/>
      <c r="C9" s="59" t="s">
        <v>197</v>
      </c>
      <c r="D9" s="59"/>
      <c r="E9" s="206">
        <v>5</v>
      </c>
      <c r="F9" s="59"/>
      <c r="G9" s="570" t="s">
        <v>200</v>
      </c>
      <c r="H9" s="59"/>
      <c r="I9" s="59"/>
      <c r="J9" s="610" t="s">
        <v>203</v>
      </c>
      <c r="K9" s="59"/>
      <c r="L9" s="59"/>
      <c r="M9" s="59"/>
      <c r="N9" s="59"/>
      <c r="O9" s="227"/>
    </row>
    <row r="10" spans="1:15">
      <c r="A10" s="46"/>
      <c r="B10" s="38"/>
      <c r="C10" s="60" t="s">
        <v>9</v>
      </c>
      <c r="D10" s="60"/>
      <c r="E10" s="95" t="s">
        <v>386</v>
      </c>
      <c r="F10" s="60"/>
      <c r="G10" s="209"/>
      <c r="H10" s="105"/>
      <c r="I10" s="60"/>
      <c r="J10" s="209"/>
      <c r="K10" s="60"/>
      <c r="L10" s="60"/>
      <c r="M10" s="60"/>
      <c r="N10" s="60"/>
      <c r="O10" s="228"/>
    </row>
    <row r="11" spans="1:15" ht="15">
      <c r="A11" s="46"/>
      <c r="B11" s="7"/>
      <c r="C11" s="8"/>
      <c r="D11" s="8"/>
      <c r="E11" s="8"/>
      <c r="F11" s="9"/>
      <c r="G11" s="67" t="s">
        <v>198</v>
      </c>
      <c r="H11" s="723"/>
      <c r="I11" s="726">
        <v>2014</v>
      </c>
      <c r="J11" s="604" t="s">
        <v>392</v>
      </c>
      <c r="K11" s="74"/>
      <c r="L11" s="73"/>
      <c r="M11" s="11"/>
      <c r="N11" s="11"/>
      <c r="O11" s="12"/>
    </row>
    <row r="12" spans="1:15">
      <c r="A12" s="46"/>
      <c r="B12" s="10"/>
      <c r="C12" s="11"/>
      <c r="D12" s="11"/>
      <c r="E12" s="11"/>
      <c r="F12" s="12"/>
      <c r="G12" s="67" t="s">
        <v>199</v>
      </c>
      <c r="H12" s="715" t="s">
        <v>390</v>
      </c>
      <c r="I12" s="712"/>
      <c r="J12" s="204" t="s">
        <v>393</v>
      </c>
      <c r="K12" s="72"/>
      <c r="L12" s="73"/>
      <c r="M12" s="11"/>
      <c r="N12" s="11"/>
      <c r="O12" s="12"/>
    </row>
    <row r="13" spans="1:15">
      <c r="A13" s="46"/>
      <c r="B13" s="10"/>
      <c r="C13" s="11"/>
      <c r="D13" s="11"/>
      <c r="E13" s="11"/>
      <c r="F13" s="12"/>
      <c r="G13" s="67" t="s">
        <v>12</v>
      </c>
      <c r="H13" s="713" t="s">
        <v>391</v>
      </c>
      <c r="I13" s="711"/>
      <c r="J13" s="75" t="s">
        <v>387</v>
      </c>
      <c r="K13" s="74"/>
      <c r="L13" s="73"/>
      <c r="M13" s="11"/>
      <c r="N13" s="11"/>
      <c r="O13" s="12"/>
    </row>
    <row r="14" spans="1:15">
      <c r="A14" s="46"/>
      <c r="B14" s="10"/>
      <c r="C14" s="11"/>
      <c r="D14" s="11"/>
      <c r="E14" s="11"/>
      <c r="F14" s="12"/>
      <c r="G14" s="572" t="s">
        <v>201</v>
      </c>
      <c r="H14" s="449"/>
      <c r="I14" s="450"/>
      <c r="J14" s="77" t="s">
        <v>388</v>
      </c>
      <c r="K14" s="66"/>
      <c r="L14" s="76"/>
      <c r="M14" s="11"/>
      <c r="N14" s="11"/>
      <c r="O14" s="12"/>
    </row>
    <row r="15" spans="1:15">
      <c r="A15" s="46"/>
      <c r="B15" s="10"/>
      <c r="C15" s="11"/>
      <c r="D15" s="11"/>
      <c r="E15" s="11"/>
      <c r="F15" s="12"/>
      <c r="G15" s="166" t="s">
        <v>29</v>
      </c>
      <c r="H15" s="405" t="s">
        <v>30</v>
      </c>
      <c r="I15" s="165" t="s">
        <v>18</v>
      </c>
      <c r="J15" s="10"/>
      <c r="K15" s="66"/>
      <c r="L15" s="76"/>
      <c r="M15" s="11"/>
      <c r="N15" s="11"/>
      <c r="O15" s="12"/>
    </row>
    <row r="16" spans="1:15">
      <c r="A16" s="46"/>
      <c r="B16" s="10"/>
      <c r="C16" s="11"/>
      <c r="D16" s="11"/>
      <c r="E16" s="11"/>
      <c r="F16" s="12"/>
      <c r="G16" s="487" t="s">
        <v>202</v>
      </c>
      <c r="H16" s="487"/>
      <c r="I16" s="488"/>
      <c r="J16" s="10"/>
      <c r="K16" s="66"/>
      <c r="L16" s="76"/>
      <c r="M16" s="11"/>
      <c r="N16" s="11"/>
      <c r="O16" s="12"/>
    </row>
    <row r="17" spans="1:15">
      <c r="A17" s="46"/>
      <c r="B17" s="10"/>
      <c r="C17" s="11"/>
      <c r="D17" s="11"/>
      <c r="E17" s="11"/>
      <c r="F17" s="11"/>
      <c r="G17" s="97" t="s">
        <v>14</v>
      </c>
      <c r="H17" s="61">
        <v>25.640999999999998</v>
      </c>
      <c r="I17" s="61" t="s">
        <v>15</v>
      </c>
      <c r="J17" s="77"/>
      <c r="K17" s="66"/>
      <c r="L17" s="76"/>
      <c r="M17" s="11"/>
      <c r="N17" s="11"/>
      <c r="O17" s="12"/>
    </row>
    <row r="18" spans="1:15">
      <c r="A18" s="46"/>
      <c r="B18" s="10"/>
      <c r="C18" s="11"/>
      <c r="D18" s="11"/>
      <c r="E18" s="11"/>
      <c r="F18" s="11"/>
      <c r="G18" s="192" t="s">
        <v>389</v>
      </c>
      <c r="H18" s="201">
        <v>24.786000000000001</v>
      </c>
      <c r="I18" s="202" t="s">
        <v>15</v>
      </c>
      <c r="J18" s="77"/>
      <c r="K18" s="66"/>
      <c r="L18" s="76"/>
      <c r="M18" s="11"/>
      <c r="N18" s="11"/>
      <c r="O18" s="12"/>
    </row>
    <row r="19" spans="1:15">
      <c r="A19" s="46"/>
      <c r="B19" s="10"/>
      <c r="C19" s="11"/>
      <c r="D19" s="11"/>
      <c r="E19" s="11"/>
      <c r="F19" s="11"/>
      <c r="G19" s="97" t="s">
        <v>21</v>
      </c>
      <c r="H19" s="61">
        <v>2</v>
      </c>
      <c r="I19" s="61"/>
      <c r="J19" s="77"/>
      <c r="K19" s="66"/>
      <c r="L19" s="76"/>
      <c r="M19" s="11"/>
      <c r="N19" s="11"/>
      <c r="O19" s="12"/>
    </row>
    <row r="20" spans="1:15">
      <c r="A20" s="46"/>
      <c r="B20" s="10"/>
      <c r="C20" s="11"/>
      <c r="D20" s="11"/>
      <c r="E20" s="11"/>
      <c r="F20" s="11"/>
      <c r="G20" s="97" t="s">
        <v>33</v>
      </c>
      <c r="H20" s="98">
        <v>6</v>
      </c>
      <c r="I20" s="61"/>
      <c r="J20" s="10"/>
      <c r="K20" s="66"/>
      <c r="L20" s="76"/>
      <c r="M20" s="11"/>
      <c r="N20" s="11"/>
      <c r="O20" s="12"/>
    </row>
    <row r="21" spans="1:15">
      <c r="A21" s="46"/>
      <c r="B21" s="17"/>
      <c r="C21" s="18"/>
      <c r="D21" s="18"/>
      <c r="E21" s="18"/>
      <c r="F21" s="18"/>
      <c r="G21" s="97" t="s">
        <v>17</v>
      </c>
      <c r="H21" s="61">
        <v>200</v>
      </c>
      <c r="I21" s="61" t="s">
        <v>15</v>
      </c>
      <c r="J21" s="17"/>
      <c r="K21" s="108"/>
      <c r="L21" s="18"/>
      <c r="M21" s="18"/>
      <c r="N21" s="18"/>
      <c r="O21" s="205"/>
    </row>
    <row r="22" spans="1:15" ht="38.25" customHeight="1">
      <c r="A22" s="46"/>
      <c r="B22" s="495" t="s">
        <v>192</v>
      </c>
      <c r="C22" s="580" t="s">
        <v>212</v>
      </c>
      <c r="D22" s="491"/>
      <c r="E22" s="498" t="s">
        <v>26</v>
      </c>
      <c r="F22" s="578" t="s">
        <v>196</v>
      </c>
      <c r="G22" s="97" t="s">
        <v>189</v>
      </c>
      <c r="H22" s="70">
        <v>271</v>
      </c>
      <c r="I22" s="70" t="s">
        <v>19</v>
      </c>
      <c r="J22" s="611"/>
      <c r="K22" s="411"/>
      <c r="L22" s="411"/>
      <c r="M22" s="411" t="s">
        <v>207</v>
      </c>
      <c r="N22" s="411"/>
      <c r="O22" s="409"/>
    </row>
    <row r="23" spans="1:15" ht="16.5">
      <c r="A23" s="46"/>
      <c r="B23" s="471"/>
      <c r="C23" s="2" t="s">
        <v>27</v>
      </c>
      <c r="D23" s="2" t="s">
        <v>28</v>
      </c>
      <c r="E23" s="499"/>
      <c r="F23" s="489"/>
      <c r="G23" s="97" t="s">
        <v>22</v>
      </c>
      <c r="H23" s="70">
        <v>3</v>
      </c>
      <c r="I23" s="99"/>
      <c r="J23" s="10" t="s">
        <v>209</v>
      </c>
      <c r="K23" s="11"/>
      <c r="L23" s="11"/>
      <c r="M23" s="11"/>
      <c r="N23" s="11"/>
      <c r="O23" s="12"/>
    </row>
    <row r="24" spans="1:15" ht="15" customHeight="1">
      <c r="A24" s="46"/>
      <c r="B24" s="23">
        <v>1</v>
      </c>
      <c r="C24" s="194">
        <v>1</v>
      </c>
      <c r="D24" s="196">
        <v>73.599999999999994</v>
      </c>
      <c r="E24" s="193">
        <f>0.00002*(10^(D24/20))</f>
        <v>9.5726018464527704E-2</v>
      </c>
      <c r="F24" s="58"/>
      <c r="G24" s="97" t="s">
        <v>23</v>
      </c>
      <c r="H24" s="100">
        <v>25</v>
      </c>
      <c r="I24" s="99" t="s">
        <v>15</v>
      </c>
      <c r="J24" s="10" t="s">
        <v>208</v>
      </c>
      <c r="K24" s="11"/>
      <c r="L24" s="11"/>
      <c r="M24" s="11"/>
      <c r="N24" s="11"/>
      <c r="O24" s="12"/>
    </row>
    <row r="25" spans="1:15" ht="15" customHeight="1">
      <c r="A25" s="46"/>
      <c r="B25" s="23">
        <f>B24+1</f>
        <v>2</v>
      </c>
      <c r="C25" s="194">
        <v>1.05</v>
      </c>
      <c r="D25" s="196">
        <v>74.599999999999994</v>
      </c>
      <c r="E25" s="193">
        <f t="shared" ref="E25:E88" si="0">0.00002*(10^(D25/20))</f>
        <v>0.10740635927405055</v>
      </c>
      <c r="F25" s="58"/>
      <c r="G25" s="97" t="s">
        <v>24</v>
      </c>
      <c r="H25" s="100">
        <v>3.5</v>
      </c>
      <c r="I25" s="99" t="s">
        <v>15</v>
      </c>
      <c r="J25" s="10" t="s">
        <v>210</v>
      </c>
      <c r="K25" s="11"/>
      <c r="L25" s="11"/>
      <c r="M25" s="11"/>
      <c r="N25" s="11"/>
      <c r="O25" s="12"/>
    </row>
    <row r="26" spans="1:15" ht="15" customHeight="1">
      <c r="A26" s="46"/>
      <c r="B26" s="23">
        <f t="shared" ref="B26:B89" si="1">B25+1</f>
        <v>3</v>
      </c>
      <c r="C26" s="194">
        <v>1.1000000000000001</v>
      </c>
      <c r="D26" s="196">
        <v>75.5</v>
      </c>
      <c r="E26" s="193">
        <f t="shared" si="0"/>
        <v>0.11913242870580223</v>
      </c>
      <c r="F26" s="58"/>
      <c r="G26" s="97" t="s">
        <v>31</v>
      </c>
      <c r="H26" s="100">
        <v>0.05</v>
      </c>
      <c r="I26" s="99" t="s">
        <v>20</v>
      </c>
      <c r="J26" s="10"/>
      <c r="K26" s="11"/>
      <c r="L26" s="11"/>
      <c r="M26" s="11"/>
      <c r="N26" s="11"/>
      <c r="O26" s="12"/>
    </row>
    <row r="27" spans="1:15" ht="15" customHeight="1">
      <c r="A27" s="46"/>
      <c r="B27" s="23">
        <f t="shared" si="1"/>
        <v>4</v>
      </c>
      <c r="C27" s="194">
        <v>1.1499999999999999</v>
      </c>
      <c r="D27" s="196">
        <v>76.599999999999994</v>
      </c>
      <c r="E27" s="193">
        <f t="shared" si="0"/>
        <v>0.13521659507839648</v>
      </c>
      <c r="F27" s="58"/>
      <c r="G27" s="97" t="s">
        <v>25</v>
      </c>
      <c r="H27" s="203">
        <v>71</v>
      </c>
      <c r="I27" s="99"/>
      <c r="J27" s="17"/>
      <c r="K27" s="18"/>
      <c r="L27" s="18"/>
      <c r="M27" s="18"/>
      <c r="N27" s="18"/>
      <c r="O27" s="19"/>
    </row>
    <row r="28" spans="1:15" ht="15" customHeight="1">
      <c r="A28" s="46"/>
      <c r="B28" s="23">
        <f t="shared" si="1"/>
        <v>5</v>
      </c>
      <c r="C28" s="194">
        <v>1.2</v>
      </c>
      <c r="D28" s="196">
        <v>77.3</v>
      </c>
      <c r="E28" s="193">
        <f t="shared" si="0"/>
        <v>0.14656490662778088</v>
      </c>
      <c r="F28" s="58"/>
      <c r="G28" s="79"/>
      <c r="H28" s="80"/>
      <c r="I28" s="81"/>
      <c r="J28" s="46"/>
      <c r="K28" s="46"/>
      <c r="L28" s="46"/>
      <c r="M28" s="46"/>
      <c r="N28" s="46"/>
      <c r="O28" s="46"/>
    </row>
    <row r="29" spans="1:15" ht="15" customHeight="1">
      <c r="A29" s="46"/>
      <c r="B29" s="23">
        <f t="shared" si="1"/>
        <v>6</v>
      </c>
      <c r="C29" s="194">
        <v>1.25</v>
      </c>
      <c r="D29" s="196">
        <v>78.599999999999994</v>
      </c>
      <c r="E29" s="193">
        <f t="shared" si="0"/>
        <v>0.17022760764047526</v>
      </c>
      <c r="F29" s="58"/>
      <c r="G29" s="613" t="s">
        <v>204</v>
      </c>
      <c r="H29" s="449"/>
      <c r="I29" s="449"/>
      <c r="J29" s="449"/>
      <c r="K29" s="449"/>
      <c r="L29" s="449"/>
      <c r="M29" s="449"/>
      <c r="N29" s="449"/>
      <c r="O29" s="450"/>
    </row>
    <row r="30" spans="1:15" ht="15" customHeight="1">
      <c r="A30" s="46"/>
      <c r="B30" s="23">
        <f t="shared" si="1"/>
        <v>7</v>
      </c>
      <c r="C30" s="194">
        <v>1.3</v>
      </c>
      <c r="D30" s="196">
        <v>79.900000000000006</v>
      </c>
      <c r="E30" s="193">
        <f t="shared" si="0"/>
        <v>0.19771061893138797</v>
      </c>
      <c r="F30" s="58" t="s">
        <v>190</v>
      </c>
      <c r="G30" s="82"/>
      <c r="H30" s="82"/>
      <c r="I30" s="81"/>
      <c r="J30" s="46"/>
      <c r="K30" s="46"/>
      <c r="L30" s="46"/>
      <c r="M30" s="46"/>
      <c r="N30" s="46"/>
      <c r="O30" s="46"/>
    </row>
    <row r="31" spans="1:15" ht="15" customHeight="1">
      <c r="A31" s="46"/>
      <c r="B31" s="23">
        <f t="shared" si="1"/>
        <v>8</v>
      </c>
      <c r="C31" s="194">
        <v>1.35</v>
      </c>
      <c r="D31" s="196">
        <v>80.7</v>
      </c>
      <c r="E31" s="193">
        <f t="shared" si="0"/>
        <v>0.21678538280424084</v>
      </c>
      <c r="F31" s="58"/>
      <c r="G31" s="82"/>
      <c r="H31" s="82"/>
      <c r="I31" s="81"/>
      <c r="J31" s="46"/>
      <c r="K31" s="46"/>
      <c r="L31" s="46"/>
      <c r="M31" s="46"/>
      <c r="N31" s="46"/>
      <c r="O31" s="46"/>
    </row>
    <row r="32" spans="1:15" ht="15" customHeight="1">
      <c r="A32" s="46"/>
      <c r="B32" s="23">
        <f t="shared" si="1"/>
        <v>9</v>
      </c>
      <c r="C32" s="194">
        <v>1.4</v>
      </c>
      <c r="D32" s="196">
        <v>81.2</v>
      </c>
      <c r="E32" s="193">
        <f t="shared" si="0"/>
        <v>0.22963072429937706</v>
      </c>
      <c r="F32" s="58"/>
      <c r="G32" s="82"/>
      <c r="H32" s="82"/>
      <c r="I32" s="81"/>
      <c r="J32" s="46"/>
      <c r="K32" s="46"/>
      <c r="L32" s="46"/>
      <c r="M32" s="46"/>
      <c r="N32" s="46"/>
      <c r="O32" s="46"/>
    </row>
    <row r="33" spans="1:15" ht="15" customHeight="1">
      <c r="A33" s="46"/>
      <c r="B33" s="23">
        <f t="shared" si="1"/>
        <v>10</v>
      </c>
      <c r="C33" s="194">
        <v>1.45</v>
      </c>
      <c r="D33" s="196">
        <v>81.3</v>
      </c>
      <c r="E33" s="193">
        <f t="shared" si="0"/>
        <v>0.23228972276806861</v>
      </c>
      <c r="F33" s="58"/>
      <c r="G33" s="82"/>
      <c r="H33" s="82"/>
      <c r="I33" s="81"/>
      <c r="J33" s="46"/>
      <c r="K33" s="46"/>
      <c r="L33" s="46"/>
      <c r="M33" s="46"/>
      <c r="N33" s="46"/>
      <c r="O33" s="46"/>
    </row>
    <row r="34" spans="1:15" ht="15" customHeight="1">
      <c r="A34" s="46"/>
      <c r="B34" s="23">
        <f t="shared" si="1"/>
        <v>11</v>
      </c>
      <c r="C34" s="194">
        <v>1.5</v>
      </c>
      <c r="D34" s="196">
        <v>81.7</v>
      </c>
      <c r="E34" s="193">
        <f t="shared" si="0"/>
        <v>0.24323720012927363</v>
      </c>
      <c r="F34" s="58"/>
      <c r="G34" s="82"/>
      <c r="H34" s="82"/>
      <c r="I34" s="81"/>
      <c r="J34" s="46"/>
      <c r="K34" s="46"/>
      <c r="L34" s="46"/>
      <c r="M34" s="46"/>
      <c r="N34" s="46"/>
      <c r="O34" s="46"/>
    </row>
    <row r="35" spans="1:15" ht="15" customHeight="1">
      <c r="A35" s="46"/>
      <c r="B35" s="23">
        <f t="shared" si="1"/>
        <v>12</v>
      </c>
      <c r="C35" s="194">
        <v>1.55</v>
      </c>
      <c r="D35" s="196">
        <v>82</v>
      </c>
      <c r="E35" s="193">
        <f t="shared" si="0"/>
        <v>0.25178508235883346</v>
      </c>
      <c r="F35" s="58"/>
      <c r="G35" s="82"/>
      <c r="H35" s="82"/>
      <c r="I35" s="81"/>
      <c r="J35" s="46"/>
      <c r="K35" s="46"/>
      <c r="L35" s="46"/>
      <c r="M35" s="46"/>
      <c r="N35" s="46"/>
      <c r="O35" s="46"/>
    </row>
    <row r="36" spans="1:15" ht="15" customHeight="1">
      <c r="A36" s="46"/>
      <c r="B36" s="23">
        <f t="shared" si="1"/>
        <v>13</v>
      </c>
      <c r="C36" s="194">
        <v>1.6</v>
      </c>
      <c r="D36" s="196">
        <v>82.2</v>
      </c>
      <c r="E36" s="193">
        <f t="shared" si="0"/>
        <v>0.25764991033862722</v>
      </c>
      <c r="F36" s="58"/>
      <c r="G36" s="82"/>
      <c r="H36" s="82"/>
      <c r="I36" s="81"/>
      <c r="J36" s="46"/>
      <c r="K36" s="46"/>
      <c r="L36" s="46"/>
      <c r="M36" s="46"/>
      <c r="N36" s="46"/>
      <c r="O36" s="46"/>
    </row>
    <row r="37" spans="1:15" ht="15" customHeight="1">
      <c r="A37" s="46"/>
      <c r="B37" s="23">
        <f t="shared" si="1"/>
        <v>14</v>
      </c>
      <c r="C37" s="194">
        <v>1.65</v>
      </c>
      <c r="D37" s="196">
        <v>82.3</v>
      </c>
      <c r="E37" s="193">
        <f t="shared" si="0"/>
        <v>0.26063335569046031</v>
      </c>
      <c r="F37" s="58"/>
      <c r="G37" s="82"/>
      <c r="H37" s="82"/>
      <c r="I37" s="81"/>
      <c r="J37" s="46"/>
      <c r="K37" s="46"/>
      <c r="L37" s="46"/>
      <c r="M37" s="46"/>
      <c r="N37" s="46"/>
      <c r="O37" s="46"/>
    </row>
    <row r="38" spans="1:15" ht="15" customHeight="1">
      <c r="A38" s="46"/>
      <c r="B38" s="23">
        <f t="shared" si="1"/>
        <v>15</v>
      </c>
      <c r="C38" s="194">
        <v>1.7</v>
      </c>
      <c r="D38" s="196">
        <v>82.3</v>
      </c>
      <c r="E38" s="193">
        <f t="shared" si="0"/>
        <v>0.26063335569046031</v>
      </c>
      <c r="F38" s="58"/>
      <c r="G38" s="82"/>
      <c r="H38" s="82"/>
      <c r="I38" s="81"/>
      <c r="J38" s="46"/>
      <c r="K38" s="46"/>
      <c r="L38" s="46"/>
      <c r="M38" s="46"/>
      <c r="N38" s="46"/>
      <c r="O38" s="46"/>
    </row>
    <row r="39" spans="1:15" ht="15" customHeight="1">
      <c r="A39" s="46"/>
      <c r="B39" s="23">
        <f t="shared" si="1"/>
        <v>16</v>
      </c>
      <c r="C39" s="194">
        <v>1.75</v>
      </c>
      <c r="D39" s="196">
        <v>82.1</v>
      </c>
      <c r="E39" s="193">
        <f t="shared" si="0"/>
        <v>0.25470061620333234</v>
      </c>
      <c r="F39" s="58"/>
      <c r="G39" s="82"/>
      <c r="H39" s="82"/>
      <c r="I39" s="81"/>
      <c r="J39" s="46"/>
      <c r="K39" s="46"/>
      <c r="L39" s="46"/>
      <c r="M39" s="46"/>
      <c r="N39" s="46"/>
      <c r="O39" s="46"/>
    </row>
    <row r="40" spans="1:15" ht="15" customHeight="1">
      <c r="A40" s="46"/>
      <c r="B40" s="23">
        <f t="shared" si="1"/>
        <v>17</v>
      </c>
      <c r="C40" s="194">
        <v>1.8</v>
      </c>
      <c r="D40" s="196">
        <v>82.7</v>
      </c>
      <c r="E40" s="193">
        <f t="shared" si="0"/>
        <v>0.27291662731778482</v>
      </c>
      <c r="F40" s="58"/>
      <c r="G40" s="82"/>
      <c r="H40" s="82"/>
      <c r="I40" s="81"/>
      <c r="J40" s="46"/>
      <c r="K40" s="46"/>
      <c r="L40" s="46"/>
      <c r="M40" s="46"/>
      <c r="N40" s="46"/>
      <c r="O40" s="46"/>
    </row>
    <row r="41" spans="1:15" ht="15" customHeight="1">
      <c r="A41" s="46"/>
      <c r="B41" s="23">
        <f t="shared" si="1"/>
        <v>18</v>
      </c>
      <c r="C41" s="194">
        <v>1.85</v>
      </c>
      <c r="D41" s="196">
        <v>82.8</v>
      </c>
      <c r="E41" s="193">
        <f t="shared" si="0"/>
        <v>0.27607685292057682</v>
      </c>
      <c r="F41" s="58"/>
      <c r="G41" s="82"/>
      <c r="H41" s="82"/>
      <c r="I41" s="81"/>
      <c r="J41" s="46"/>
      <c r="K41" s="46"/>
      <c r="L41" s="46"/>
      <c r="M41" s="46"/>
      <c r="N41" s="46"/>
      <c r="O41" s="46"/>
    </row>
    <row r="42" spans="1:15" ht="15" customHeight="1">
      <c r="A42" s="46"/>
      <c r="B42" s="23">
        <f t="shared" si="1"/>
        <v>19</v>
      </c>
      <c r="C42" s="194">
        <v>1.9</v>
      </c>
      <c r="D42" s="196">
        <v>82.6</v>
      </c>
      <c r="E42" s="193">
        <f t="shared" si="0"/>
        <v>0.26979257651833116</v>
      </c>
      <c r="F42" s="58"/>
      <c r="G42" s="79"/>
      <c r="H42" s="82"/>
      <c r="I42" s="83"/>
      <c r="J42" s="46"/>
      <c r="K42" s="46"/>
      <c r="L42" s="46"/>
      <c r="M42" s="46"/>
      <c r="N42" s="46"/>
      <c r="O42" s="46"/>
    </row>
    <row r="43" spans="1:15" ht="15" customHeight="1">
      <c r="A43" s="46"/>
      <c r="B43" s="23">
        <f t="shared" si="1"/>
        <v>20</v>
      </c>
      <c r="C43" s="195">
        <v>1.95</v>
      </c>
      <c r="D43" s="198">
        <v>82.5</v>
      </c>
      <c r="E43" s="193">
        <f t="shared" si="0"/>
        <v>0.26670428643266519</v>
      </c>
      <c r="F43" s="58"/>
      <c r="G43" s="82"/>
      <c r="H43" s="82"/>
      <c r="I43" s="81"/>
      <c r="J43" s="46"/>
      <c r="K43" s="46"/>
      <c r="L43" s="46"/>
      <c r="M43" s="46"/>
      <c r="N43" s="46"/>
      <c r="O43" s="46"/>
    </row>
    <row r="44" spans="1:15" ht="15" customHeight="1">
      <c r="A44" s="46"/>
      <c r="B44" s="23">
        <f t="shared" si="1"/>
        <v>21</v>
      </c>
      <c r="C44" s="194">
        <v>2</v>
      </c>
      <c r="D44" s="196">
        <v>82.7</v>
      </c>
      <c r="E44" s="193">
        <f t="shared" si="0"/>
        <v>0.27291662731778482</v>
      </c>
      <c r="F44" s="58"/>
      <c r="G44" s="82"/>
      <c r="H44" s="82"/>
      <c r="I44" s="81"/>
      <c r="J44" s="46"/>
      <c r="K44" s="46"/>
      <c r="L44" s="46"/>
      <c r="M44" s="46"/>
      <c r="N44" s="46"/>
      <c r="O44" s="46"/>
    </row>
    <row r="45" spans="1:15" ht="15" customHeight="1">
      <c r="A45" s="46"/>
      <c r="B45" s="23">
        <f t="shared" si="1"/>
        <v>22</v>
      </c>
      <c r="C45" s="194">
        <v>2.0499999999999998</v>
      </c>
      <c r="D45" s="196">
        <v>82.3</v>
      </c>
      <c r="E45" s="193">
        <f t="shared" si="0"/>
        <v>0.26063335569046031</v>
      </c>
      <c r="F45" s="58"/>
      <c r="G45" s="84"/>
      <c r="H45" s="82"/>
      <c r="I45" s="81"/>
      <c r="J45" s="46"/>
      <c r="K45" s="46"/>
      <c r="L45" s="46"/>
      <c r="M45" s="46"/>
      <c r="N45" s="46"/>
      <c r="O45" s="46"/>
    </row>
    <row r="46" spans="1:15" ht="15" customHeight="1">
      <c r="A46" s="46"/>
      <c r="B46" s="23">
        <f t="shared" si="1"/>
        <v>23</v>
      </c>
      <c r="C46" s="194">
        <v>2.1</v>
      </c>
      <c r="D46" s="196">
        <v>82.1</v>
      </c>
      <c r="E46" s="193">
        <f t="shared" si="0"/>
        <v>0.25470061620333234</v>
      </c>
      <c r="F46" s="89"/>
      <c r="G46" s="84"/>
      <c r="H46" s="82"/>
      <c r="I46" s="81"/>
      <c r="J46" s="46"/>
      <c r="K46" s="46"/>
      <c r="L46" s="46"/>
      <c r="M46" s="46"/>
      <c r="N46" s="46"/>
      <c r="O46" s="46"/>
    </row>
    <row r="47" spans="1:15" ht="15" customHeight="1">
      <c r="A47" s="46"/>
      <c r="B47" s="23">
        <f t="shared" si="1"/>
        <v>24</v>
      </c>
      <c r="C47" s="194">
        <v>2.15</v>
      </c>
      <c r="D47" s="196">
        <v>82</v>
      </c>
      <c r="E47" s="193">
        <f t="shared" si="0"/>
        <v>0.25178508235883346</v>
      </c>
      <c r="F47" s="58"/>
      <c r="G47" s="84"/>
      <c r="H47" s="82"/>
      <c r="I47" s="81"/>
      <c r="J47" s="46"/>
      <c r="K47" s="46"/>
      <c r="L47" s="46"/>
      <c r="M47" s="46"/>
      <c r="N47" s="46"/>
      <c r="O47" s="46"/>
    </row>
    <row r="48" spans="1:15" ht="15" customHeight="1">
      <c r="A48" s="46"/>
      <c r="B48" s="23">
        <f t="shared" si="1"/>
        <v>25</v>
      </c>
      <c r="C48" s="194">
        <v>2.2000000000000002</v>
      </c>
      <c r="D48" s="196">
        <v>82.4</v>
      </c>
      <c r="E48" s="193">
        <f t="shared" si="0"/>
        <v>0.26365134771128185</v>
      </c>
      <c r="F48" s="58"/>
      <c r="G48" s="84"/>
      <c r="H48" s="82"/>
      <c r="I48" s="81"/>
      <c r="J48" s="46"/>
      <c r="K48" s="46"/>
      <c r="L48" s="46"/>
      <c r="M48" s="46"/>
      <c r="N48" s="46"/>
      <c r="O48" s="46"/>
    </row>
    <row r="49" spans="1:15" ht="15" customHeight="1">
      <c r="A49" s="46"/>
      <c r="B49" s="23">
        <f t="shared" si="1"/>
        <v>26</v>
      </c>
      <c r="C49" s="194">
        <v>2.25</v>
      </c>
      <c r="D49" s="196">
        <v>82.4</v>
      </c>
      <c r="E49" s="193">
        <f t="shared" si="0"/>
        <v>0.26365134771128185</v>
      </c>
      <c r="F49" s="58"/>
      <c r="G49" s="84"/>
      <c r="H49" s="82"/>
      <c r="I49" s="85"/>
      <c r="J49" s="46"/>
      <c r="K49" s="46"/>
      <c r="L49" s="46"/>
      <c r="M49" s="46"/>
      <c r="N49" s="46"/>
      <c r="O49" s="46"/>
    </row>
    <row r="50" spans="1:15" ht="15" customHeight="1">
      <c r="A50" s="46"/>
      <c r="B50" s="23">
        <f t="shared" si="1"/>
        <v>27</v>
      </c>
      <c r="C50" s="194">
        <v>2.2999999999999998</v>
      </c>
      <c r="D50" s="196">
        <v>82.8</v>
      </c>
      <c r="E50" s="193">
        <f t="shared" si="0"/>
        <v>0.27607685292057682</v>
      </c>
      <c r="F50" s="58"/>
      <c r="G50" s="84"/>
      <c r="H50" s="82"/>
      <c r="I50" s="85"/>
      <c r="J50" s="46"/>
      <c r="K50" s="46"/>
      <c r="L50" s="46"/>
      <c r="M50" s="46"/>
      <c r="N50" s="46"/>
      <c r="O50" s="46"/>
    </row>
    <row r="51" spans="1:15" ht="15" customHeight="1">
      <c r="A51" s="46"/>
      <c r="B51" s="23">
        <f t="shared" si="1"/>
        <v>28</v>
      </c>
      <c r="C51" s="194">
        <v>2.35</v>
      </c>
      <c r="D51" s="196">
        <v>83.1</v>
      </c>
      <c r="E51" s="193">
        <f t="shared" si="0"/>
        <v>0.28577879170222042</v>
      </c>
      <c r="F51" s="58"/>
      <c r="G51" s="84"/>
      <c r="H51" s="82"/>
      <c r="I51" s="86"/>
      <c r="J51" s="46"/>
      <c r="K51" s="46"/>
      <c r="L51" s="46"/>
      <c r="M51" s="46"/>
      <c r="N51" s="46"/>
      <c r="O51" s="46"/>
    </row>
    <row r="52" spans="1:15" ht="15" customHeight="1">
      <c r="A52" s="46"/>
      <c r="B52" s="23">
        <f t="shared" si="1"/>
        <v>29</v>
      </c>
      <c r="C52" s="194">
        <v>2.4</v>
      </c>
      <c r="D52" s="196">
        <v>82.9</v>
      </c>
      <c r="E52" s="193">
        <f t="shared" si="0"/>
        <v>0.27927367221118787</v>
      </c>
      <c r="F52" s="58"/>
      <c r="G52" s="84"/>
      <c r="H52" s="82"/>
      <c r="I52" s="86"/>
      <c r="J52" s="46"/>
      <c r="K52" s="46"/>
      <c r="L52" s="46"/>
      <c r="M52" s="46"/>
      <c r="N52" s="46"/>
      <c r="O52" s="46"/>
    </row>
    <row r="53" spans="1:15" ht="15" customHeight="1">
      <c r="A53" s="46"/>
      <c r="B53" s="23">
        <f t="shared" si="1"/>
        <v>30</v>
      </c>
      <c r="C53" s="194">
        <v>2.4500000000000002</v>
      </c>
      <c r="D53" s="196">
        <v>82.9</v>
      </c>
      <c r="E53" s="193">
        <f t="shared" si="0"/>
        <v>0.27927367221118787</v>
      </c>
      <c r="F53" s="58"/>
      <c r="G53" s="84"/>
      <c r="H53" s="82"/>
      <c r="I53" s="86"/>
      <c r="J53" s="46"/>
      <c r="K53" s="46"/>
      <c r="L53" s="46"/>
      <c r="M53" s="46"/>
      <c r="N53" s="46"/>
      <c r="O53" s="46"/>
    </row>
    <row r="54" spans="1:15" ht="15" customHeight="1">
      <c r="A54" s="46"/>
      <c r="B54" s="23">
        <f t="shared" si="1"/>
        <v>31</v>
      </c>
      <c r="C54" s="194">
        <v>2.5</v>
      </c>
      <c r="D54" s="196">
        <v>83</v>
      </c>
      <c r="E54" s="193">
        <f t="shared" si="0"/>
        <v>0.28250750892455123</v>
      </c>
      <c r="F54" s="58"/>
      <c r="G54" s="84"/>
      <c r="H54" s="82"/>
      <c r="I54" s="85"/>
      <c r="J54" s="46"/>
      <c r="K54" s="46"/>
      <c r="L54" s="46"/>
      <c r="M54" s="46"/>
      <c r="N54" s="46"/>
      <c r="O54" s="46"/>
    </row>
    <row r="55" spans="1:15" ht="15" customHeight="1">
      <c r="A55" s="46"/>
      <c r="B55" s="23">
        <f t="shared" si="1"/>
        <v>32</v>
      </c>
      <c r="C55" s="194">
        <v>2.5499999999999998</v>
      </c>
      <c r="D55" s="196">
        <v>82.8</v>
      </c>
      <c r="E55" s="193">
        <f t="shared" si="0"/>
        <v>0.27607685292057682</v>
      </c>
      <c r="F55" s="58"/>
      <c r="G55" s="84"/>
      <c r="H55" s="82"/>
      <c r="I55" s="85"/>
      <c r="J55" s="46"/>
      <c r="K55" s="46"/>
      <c r="L55" s="46"/>
      <c r="M55" s="46"/>
      <c r="N55" s="46"/>
      <c r="O55" s="46"/>
    </row>
    <row r="56" spans="1:15" ht="15" customHeight="1">
      <c r="A56" s="46"/>
      <c r="B56" s="23">
        <f t="shared" si="1"/>
        <v>33</v>
      </c>
      <c r="C56" s="194">
        <v>2.6</v>
      </c>
      <c r="D56" s="196">
        <v>82.7</v>
      </c>
      <c r="E56" s="193">
        <f t="shared" si="0"/>
        <v>0.27291662731778482</v>
      </c>
      <c r="F56" s="58"/>
      <c r="G56" s="79"/>
      <c r="H56" s="82"/>
      <c r="I56" s="85"/>
      <c r="J56" s="46"/>
      <c r="K56" s="46"/>
      <c r="L56" s="46"/>
      <c r="M56" s="46"/>
      <c r="N56" s="46"/>
      <c r="O56" s="46"/>
    </row>
    <row r="57" spans="1:15" ht="15" customHeight="1">
      <c r="A57" s="46"/>
      <c r="B57" s="23">
        <f t="shared" si="1"/>
        <v>34</v>
      </c>
      <c r="C57" s="194">
        <v>2.65</v>
      </c>
      <c r="D57" s="196">
        <v>82.6</v>
      </c>
      <c r="E57" s="193">
        <f t="shared" si="0"/>
        <v>0.26979257651833116</v>
      </c>
      <c r="F57" s="58"/>
      <c r="G57" s="82"/>
      <c r="H57" s="82"/>
      <c r="I57" s="85"/>
      <c r="J57" s="46"/>
      <c r="K57" s="46"/>
      <c r="L57" s="46"/>
      <c r="M57" s="46"/>
      <c r="N57" s="46"/>
      <c r="O57" s="46"/>
    </row>
    <row r="58" spans="1:15" ht="15" customHeight="1">
      <c r="A58" s="46"/>
      <c r="B58" s="23">
        <f t="shared" si="1"/>
        <v>35</v>
      </c>
      <c r="C58" s="194">
        <v>2.7</v>
      </c>
      <c r="D58" s="196">
        <v>82.9</v>
      </c>
      <c r="E58" s="193">
        <f t="shared" si="0"/>
        <v>0.27927367221118787</v>
      </c>
      <c r="F58" s="58"/>
      <c r="G58" s="82"/>
      <c r="H58" s="82"/>
      <c r="I58" s="85"/>
      <c r="J58" s="46"/>
      <c r="K58" s="46"/>
      <c r="L58" s="46"/>
      <c r="M58" s="46"/>
      <c r="N58" s="46"/>
      <c r="O58" s="46"/>
    </row>
    <row r="59" spans="1:15" ht="15" customHeight="1">
      <c r="A59" s="46"/>
      <c r="B59" s="23">
        <f t="shared" si="1"/>
        <v>36</v>
      </c>
      <c r="C59" s="194">
        <v>2.75</v>
      </c>
      <c r="D59" s="196">
        <v>82.9</v>
      </c>
      <c r="E59" s="193">
        <f t="shared" si="0"/>
        <v>0.27927367221118787</v>
      </c>
      <c r="F59" s="58"/>
      <c r="G59" s="79"/>
      <c r="H59" s="82"/>
      <c r="I59" s="85"/>
      <c r="J59" s="46"/>
      <c r="K59" s="46"/>
      <c r="L59" s="46"/>
      <c r="M59" s="46"/>
      <c r="N59" s="46"/>
      <c r="O59" s="46"/>
    </row>
    <row r="60" spans="1:15" ht="15" customHeight="1">
      <c r="A60" s="46"/>
      <c r="B60" s="23">
        <f t="shared" si="1"/>
        <v>37</v>
      </c>
      <c r="C60" s="194">
        <v>2.8</v>
      </c>
      <c r="D60" s="196">
        <v>82.9</v>
      </c>
      <c r="E60" s="193">
        <f t="shared" si="0"/>
        <v>0.27927367221118787</v>
      </c>
      <c r="F60" s="58"/>
      <c r="G60" s="87"/>
      <c r="H60" s="82"/>
      <c r="I60" s="85"/>
      <c r="J60" s="46"/>
      <c r="K60" s="46"/>
      <c r="L60" s="46"/>
      <c r="M60" s="46"/>
      <c r="N60" s="46"/>
      <c r="O60" s="46"/>
    </row>
    <row r="61" spans="1:15" ht="15" customHeight="1">
      <c r="A61" s="46"/>
      <c r="B61" s="23">
        <f t="shared" si="1"/>
        <v>38</v>
      </c>
      <c r="C61" s="194">
        <v>2.85</v>
      </c>
      <c r="D61" s="196">
        <v>83.3</v>
      </c>
      <c r="E61" s="193">
        <f t="shared" si="0"/>
        <v>0.29243543489134394</v>
      </c>
      <c r="F61" s="58"/>
      <c r="G61" s="84"/>
      <c r="H61" s="82"/>
      <c r="I61" s="85"/>
      <c r="J61" s="46"/>
      <c r="K61" s="46"/>
      <c r="L61" s="46"/>
      <c r="M61" s="46"/>
      <c r="N61" s="46"/>
      <c r="O61" s="46"/>
    </row>
    <row r="62" spans="1:15" ht="15" customHeight="1">
      <c r="A62" s="46"/>
      <c r="B62" s="23">
        <f t="shared" si="1"/>
        <v>39</v>
      </c>
      <c r="C62" s="195">
        <v>2.9</v>
      </c>
      <c r="D62" s="198">
        <v>83.1</v>
      </c>
      <c r="E62" s="193">
        <f t="shared" si="0"/>
        <v>0.28577879170222042</v>
      </c>
      <c r="F62" s="58"/>
      <c r="G62" s="82"/>
      <c r="H62" s="82"/>
      <c r="I62" s="85"/>
      <c r="J62" s="46"/>
      <c r="K62" s="46"/>
      <c r="L62" s="46"/>
      <c r="M62" s="46"/>
      <c r="N62" s="46"/>
      <c r="O62" s="46"/>
    </row>
    <row r="63" spans="1:15" ht="15" customHeight="1">
      <c r="A63" s="46"/>
      <c r="B63" s="23">
        <f t="shared" si="1"/>
        <v>40</v>
      </c>
      <c r="C63" s="194">
        <v>2.95</v>
      </c>
      <c r="D63" s="196">
        <v>83.4</v>
      </c>
      <c r="E63" s="193">
        <f t="shared" si="0"/>
        <v>0.29582167763364181</v>
      </c>
      <c r="F63" s="58"/>
      <c r="G63" s="82"/>
      <c r="H63" s="82"/>
      <c r="I63" s="85"/>
      <c r="J63" s="46"/>
      <c r="K63" s="46"/>
      <c r="L63" s="46"/>
      <c r="M63" s="46"/>
      <c r="N63" s="46"/>
      <c r="O63" s="46"/>
    </row>
    <row r="64" spans="1:15" ht="15" customHeight="1">
      <c r="A64" s="46"/>
      <c r="B64" s="23">
        <f t="shared" si="1"/>
        <v>41</v>
      </c>
      <c r="C64" s="194">
        <v>3</v>
      </c>
      <c r="D64" s="196">
        <v>83.2</v>
      </c>
      <c r="E64" s="193">
        <f t="shared" si="0"/>
        <v>0.28908795414918587</v>
      </c>
      <c r="F64" s="58"/>
      <c r="G64" s="79"/>
      <c r="H64" s="82"/>
      <c r="I64" s="76"/>
      <c r="J64" s="46"/>
      <c r="K64" s="46"/>
      <c r="L64" s="46"/>
      <c r="M64" s="46"/>
      <c r="N64" s="46"/>
      <c r="O64" s="46"/>
    </row>
    <row r="65" spans="1:15" ht="15" customHeight="1">
      <c r="A65" s="46"/>
      <c r="B65" s="23">
        <f t="shared" si="1"/>
        <v>42</v>
      </c>
      <c r="C65" s="194">
        <v>3.05</v>
      </c>
      <c r="D65" s="196">
        <v>82.8</v>
      </c>
      <c r="E65" s="193">
        <f t="shared" si="0"/>
        <v>0.27607685292057682</v>
      </c>
      <c r="F65" s="58"/>
      <c r="G65" s="79"/>
      <c r="H65" s="82"/>
      <c r="I65" s="76"/>
      <c r="J65" s="46"/>
      <c r="K65" s="46"/>
      <c r="L65" s="46"/>
      <c r="M65" s="46"/>
      <c r="N65" s="46"/>
      <c r="O65" s="46"/>
    </row>
    <row r="66" spans="1:15" ht="15" customHeight="1">
      <c r="A66" s="46"/>
      <c r="B66" s="23">
        <f t="shared" si="1"/>
        <v>43</v>
      </c>
      <c r="C66" s="194">
        <v>3.1</v>
      </c>
      <c r="D66" s="196">
        <v>82.8</v>
      </c>
      <c r="E66" s="193">
        <f t="shared" si="0"/>
        <v>0.27607685292057682</v>
      </c>
      <c r="F66" s="58"/>
      <c r="G66" s="79"/>
      <c r="H66" s="82"/>
      <c r="I66" s="76" t="s">
        <v>190</v>
      </c>
      <c r="J66" s="46"/>
      <c r="K66" s="46"/>
      <c r="L66" s="46"/>
      <c r="M66" s="46"/>
      <c r="N66" s="46"/>
      <c r="O66" s="46"/>
    </row>
    <row r="67" spans="1:15" ht="15" customHeight="1">
      <c r="A67" s="46"/>
      <c r="B67" s="23">
        <f t="shared" si="1"/>
        <v>44</v>
      </c>
      <c r="C67" s="194">
        <v>3.15</v>
      </c>
      <c r="D67" s="196">
        <v>82.8</v>
      </c>
      <c r="E67" s="193">
        <f t="shared" si="0"/>
        <v>0.27607685292057682</v>
      </c>
      <c r="F67" s="58"/>
      <c r="G67" s="79"/>
      <c r="H67" s="82"/>
      <c r="I67" s="76"/>
      <c r="J67" s="46"/>
      <c r="K67" s="46"/>
      <c r="L67" s="46"/>
      <c r="M67" s="46"/>
      <c r="N67" s="46"/>
      <c r="O67" s="46"/>
    </row>
    <row r="68" spans="1:15" ht="15" customHeight="1">
      <c r="A68" s="46"/>
      <c r="B68" s="23">
        <f t="shared" si="1"/>
        <v>45</v>
      </c>
      <c r="C68" s="194">
        <v>3.2</v>
      </c>
      <c r="D68" s="196">
        <v>82.9</v>
      </c>
      <c r="E68" s="193">
        <f t="shared" si="0"/>
        <v>0.27927367221118787</v>
      </c>
      <c r="F68" s="58"/>
      <c r="G68" s="79"/>
      <c r="H68" s="82"/>
      <c r="I68" s="76"/>
      <c r="J68" s="46"/>
      <c r="K68" s="46"/>
      <c r="L68" s="46"/>
      <c r="M68" s="46"/>
      <c r="N68" s="46"/>
      <c r="O68" s="46"/>
    </row>
    <row r="69" spans="1:15" ht="15" customHeight="1">
      <c r="A69" s="46"/>
      <c r="B69" s="23">
        <f t="shared" si="1"/>
        <v>46</v>
      </c>
      <c r="C69" s="194">
        <v>3.25</v>
      </c>
      <c r="D69" s="196">
        <v>83</v>
      </c>
      <c r="E69" s="193">
        <f t="shared" si="0"/>
        <v>0.28250750892455123</v>
      </c>
      <c r="F69" s="58"/>
      <c r="G69" s="79"/>
      <c r="H69" s="82"/>
      <c r="I69" s="76"/>
      <c r="J69" s="46"/>
      <c r="K69" s="46"/>
      <c r="L69" s="46"/>
      <c r="M69" s="46"/>
      <c r="N69" s="46"/>
      <c r="O69" s="46"/>
    </row>
    <row r="70" spans="1:15" ht="15" customHeight="1">
      <c r="A70" s="46"/>
      <c r="B70" s="23">
        <f t="shared" si="1"/>
        <v>47</v>
      </c>
      <c r="C70" s="194">
        <v>3.3</v>
      </c>
      <c r="D70" s="196">
        <v>83</v>
      </c>
      <c r="E70" s="193">
        <f t="shared" si="0"/>
        <v>0.28250750892455123</v>
      </c>
      <c r="F70" s="58"/>
      <c r="G70" s="79"/>
      <c r="H70" s="82"/>
      <c r="I70" s="76"/>
      <c r="J70" s="46"/>
      <c r="K70" s="46"/>
      <c r="L70" s="46"/>
      <c r="M70" s="46"/>
      <c r="N70" s="46"/>
      <c r="O70" s="46"/>
    </row>
    <row r="71" spans="1:15" ht="15" customHeight="1">
      <c r="A71" s="46"/>
      <c r="B71" s="23">
        <f t="shared" si="1"/>
        <v>48</v>
      </c>
      <c r="C71" s="194">
        <v>3.35</v>
      </c>
      <c r="D71" s="196">
        <v>82.8</v>
      </c>
      <c r="E71" s="193">
        <f t="shared" si="0"/>
        <v>0.27607685292057682</v>
      </c>
      <c r="F71" s="58"/>
      <c r="G71" s="79"/>
      <c r="H71" s="82"/>
      <c r="I71" s="76"/>
      <c r="J71" s="46"/>
      <c r="K71" s="46"/>
      <c r="L71" s="46"/>
      <c r="M71" s="46"/>
      <c r="N71" s="46"/>
      <c r="O71" s="46"/>
    </row>
    <row r="72" spans="1:15" ht="15" customHeight="1">
      <c r="A72" s="46"/>
      <c r="B72" s="23">
        <f t="shared" si="1"/>
        <v>49</v>
      </c>
      <c r="C72" s="194">
        <v>3.4</v>
      </c>
      <c r="D72" s="196">
        <v>82.8</v>
      </c>
      <c r="E72" s="193">
        <f t="shared" si="0"/>
        <v>0.27607685292057682</v>
      </c>
      <c r="F72" s="58"/>
      <c r="G72" s="46"/>
      <c r="H72" s="46"/>
      <c r="I72" s="46"/>
      <c r="J72" s="46"/>
      <c r="K72" s="46"/>
      <c r="L72" s="46"/>
      <c r="M72" s="46"/>
      <c r="N72" s="46"/>
      <c r="O72" s="46"/>
    </row>
    <row r="73" spans="1:15" ht="15" customHeight="1">
      <c r="A73" s="46"/>
      <c r="B73" s="23">
        <f t="shared" si="1"/>
        <v>50</v>
      </c>
      <c r="C73" s="194">
        <v>3.45</v>
      </c>
      <c r="D73" s="196">
        <v>83.2</v>
      </c>
      <c r="E73" s="193">
        <f t="shared" si="0"/>
        <v>0.28908795414918587</v>
      </c>
      <c r="F73" s="58"/>
      <c r="G73" s="46"/>
      <c r="H73" s="46"/>
      <c r="I73" s="46"/>
      <c r="J73" s="46"/>
      <c r="K73" s="46"/>
      <c r="L73" s="46"/>
      <c r="M73" s="46"/>
      <c r="N73" s="46"/>
      <c r="O73" s="46"/>
    </row>
    <row r="74" spans="1:15" ht="15" customHeight="1">
      <c r="A74" s="46"/>
      <c r="B74" s="23">
        <f t="shared" si="1"/>
        <v>51</v>
      </c>
      <c r="C74" s="194">
        <v>3.5</v>
      </c>
      <c r="D74" s="196">
        <v>83.1</v>
      </c>
      <c r="E74" s="193">
        <f t="shared" si="0"/>
        <v>0.28577879170222042</v>
      </c>
      <c r="F74" s="58"/>
      <c r="G74" s="46"/>
      <c r="H74" s="46"/>
      <c r="I74" s="46"/>
      <c r="J74" s="46"/>
      <c r="K74" s="46"/>
      <c r="L74" s="46"/>
      <c r="M74" s="46"/>
      <c r="N74" s="46"/>
      <c r="O74" s="46"/>
    </row>
    <row r="75" spans="1:15" ht="15" customHeight="1">
      <c r="A75" s="46"/>
      <c r="B75" s="23">
        <f t="shared" si="1"/>
        <v>52</v>
      </c>
      <c r="C75" s="194">
        <v>3.55</v>
      </c>
      <c r="D75" s="196">
        <v>82.5</v>
      </c>
      <c r="E75" s="193">
        <f t="shared" si="0"/>
        <v>0.26670428643266519</v>
      </c>
      <c r="F75" s="58"/>
      <c r="G75" s="46"/>
      <c r="H75" s="46"/>
      <c r="I75" s="46"/>
      <c r="J75" s="46"/>
      <c r="K75" s="46"/>
      <c r="L75" s="46"/>
      <c r="M75" s="46"/>
      <c r="N75" s="46"/>
      <c r="O75" s="46"/>
    </row>
    <row r="76" spans="1:15" ht="15" customHeight="1">
      <c r="A76" s="46"/>
      <c r="B76" s="23">
        <f t="shared" si="1"/>
        <v>53</v>
      </c>
      <c r="C76" s="194">
        <v>3.6</v>
      </c>
      <c r="D76" s="196">
        <v>82.3</v>
      </c>
      <c r="E76" s="193">
        <f t="shared" si="0"/>
        <v>0.26063335569046031</v>
      </c>
      <c r="F76" s="58"/>
      <c r="G76" s="46"/>
      <c r="H76" s="46"/>
      <c r="I76" s="46"/>
      <c r="J76" s="46"/>
      <c r="K76" s="46"/>
      <c r="L76" s="46"/>
      <c r="M76" s="46"/>
      <c r="N76" s="46"/>
      <c r="O76" s="46"/>
    </row>
    <row r="77" spans="1:15" ht="15" customHeight="1">
      <c r="A77" s="46"/>
      <c r="B77" s="23">
        <f t="shared" si="1"/>
        <v>54</v>
      </c>
      <c r="C77" s="194">
        <v>3.65</v>
      </c>
      <c r="D77" s="196">
        <v>82.6</v>
      </c>
      <c r="E77" s="193">
        <f t="shared" si="0"/>
        <v>0.26979257651833116</v>
      </c>
      <c r="F77" s="58"/>
      <c r="G77" s="46"/>
      <c r="H77" s="46"/>
      <c r="I77" s="46"/>
      <c r="J77" s="46"/>
      <c r="K77" s="46"/>
      <c r="L77" s="46"/>
      <c r="M77" s="46"/>
      <c r="N77" s="46"/>
      <c r="O77" s="46"/>
    </row>
    <row r="78" spans="1:15" ht="15" customHeight="1">
      <c r="A78" s="46"/>
      <c r="B78" s="23">
        <f t="shared" si="1"/>
        <v>55</v>
      </c>
      <c r="C78" s="194">
        <v>3.7</v>
      </c>
      <c r="D78" s="196">
        <v>82.2</v>
      </c>
      <c r="E78" s="193">
        <f t="shared" si="0"/>
        <v>0.25764991033862722</v>
      </c>
      <c r="F78" s="58"/>
      <c r="G78" s="46"/>
      <c r="H78" s="46"/>
      <c r="I78" s="46"/>
      <c r="J78" s="46"/>
      <c r="K78" s="46"/>
      <c r="L78" s="46"/>
      <c r="M78" s="46"/>
      <c r="N78" s="46"/>
      <c r="O78" s="46"/>
    </row>
    <row r="79" spans="1:15" ht="15" customHeight="1">
      <c r="A79" s="46"/>
      <c r="B79" s="23">
        <f t="shared" si="1"/>
        <v>56</v>
      </c>
      <c r="C79" s="194">
        <v>3.75</v>
      </c>
      <c r="D79" s="196">
        <v>82.2</v>
      </c>
      <c r="E79" s="193">
        <f t="shared" si="0"/>
        <v>0.25764991033862722</v>
      </c>
      <c r="F79" s="58"/>
      <c r="G79" s="46"/>
      <c r="H79" s="46"/>
      <c r="I79" s="46"/>
      <c r="J79" s="46"/>
      <c r="K79" s="46"/>
      <c r="L79" s="46"/>
      <c r="M79" s="46"/>
      <c r="N79" s="46"/>
      <c r="O79" s="46"/>
    </row>
    <row r="80" spans="1:15" ht="15" customHeight="1">
      <c r="A80" s="46"/>
      <c r="B80" s="23">
        <f t="shared" si="1"/>
        <v>57</v>
      </c>
      <c r="C80" s="194">
        <v>3.8</v>
      </c>
      <c r="D80" s="196">
        <v>81.7</v>
      </c>
      <c r="E80" s="193">
        <f t="shared" si="0"/>
        <v>0.24323720012927363</v>
      </c>
      <c r="F80" s="58"/>
      <c r="G80" s="46"/>
      <c r="H80" s="46"/>
      <c r="I80" s="46"/>
      <c r="J80" s="46"/>
      <c r="K80" s="46"/>
      <c r="L80" s="46"/>
      <c r="M80" s="46"/>
      <c r="N80" s="46"/>
      <c r="O80" s="46"/>
    </row>
    <row r="81" spans="1:15" ht="15" customHeight="1">
      <c r="A81" s="46"/>
      <c r="B81" s="23">
        <f t="shared" si="1"/>
        <v>58</v>
      </c>
      <c r="C81" s="194">
        <v>3.85</v>
      </c>
      <c r="D81" s="196">
        <v>81.400000000000006</v>
      </c>
      <c r="E81" s="193">
        <f t="shared" si="0"/>
        <v>0.23497951098790637</v>
      </c>
      <c r="F81" s="58"/>
      <c r="G81" s="46"/>
      <c r="H81" s="46"/>
      <c r="I81" s="46"/>
      <c r="J81" s="46"/>
      <c r="K81" s="46"/>
      <c r="L81" s="46"/>
      <c r="M81" s="46"/>
      <c r="N81" s="46"/>
      <c r="O81" s="46"/>
    </row>
    <row r="82" spans="1:15" ht="15" customHeight="1">
      <c r="A82" s="46"/>
      <c r="B82" s="23">
        <f t="shared" si="1"/>
        <v>59</v>
      </c>
      <c r="C82" s="194">
        <v>3.9</v>
      </c>
      <c r="D82" s="196">
        <v>81.3</v>
      </c>
      <c r="E82" s="193">
        <f t="shared" si="0"/>
        <v>0.23228972276806861</v>
      </c>
      <c r="F82" s="58"/>
      <c r="G82" s="46"/>
      <c r="H82" s="46"/>
      <c r="I82" s="46"/>
      <c r="J82" s="46"/>
      <c r="K82" s="46"/>
      <c r="L82" s="46"/>
      <c r="M82" s="46"/>
      <c r="N82" s="46"/>
      <c r="O82" s="46"/>
    </row>
    <row r="83" spans="1:15">
      <c r="A83" s="46"/>
      <c r="B83" s="23">
        <f t="shared" si="1"/>
        <v>60</v>
      </c>
      <c r="C83" s="194">
        <v>3.95</v>
      </c>
      <c r="D83" s="196">
        <v>81.3</v>
      </c>
      <c r="E83" s="193">
        <f t="shared" si="0"/>
        <v>0.23228972276806861</v>
      </c>
      <c r="F83" s="46"/>
      <c r="G83" s="46"/>
      <c r="H83" s="88"/>
      <c r="I83" s="11"/>
      <c r="J83" s="46"/>
      <c r="K83" s="46"/>
      <c r="L83" s="46"/>
      <c r="M83" s="46"/>
      <c r="N83" s="46"/>
      <c r="O83" s="46"/>
    </row>
    <row r="84" spans="1:15">
      <c r="A84" s="46"/>
      <c r="B84" s="23">
        <f t="shared" si="1"/>
        <v>61</v>
      </c>
      <c r="C84" s="194">
        <v>4</v>
      </c>
      <c r="D84" s="196">
        <v>80.7</v>
      </c>
      <c r="E84" s="193">
        <f t="shared" si="0"/>
        <v>0.21678538280424084</v>
      </c>
      <c r="F84" s="46"/>
      <c r="G84" s="46"/>
      <c r="H84" s="88"/>
      <c r="I84" s="11"/>
      <c r="J84" s="46"/>
      <c r="K84" s="46"/>
      <c r="L84" s="46"/>
      <c r="M84" s="46"/>
      <c r="N84" s="46"/>
      <c r="O84" s="46"/>
    </row>
    <row r="85" spans="1:15">
      <c r="A85" s="46"/>
      <c r="B85" s="178">
        <f t="shared" si="1"/>
        <v>62</v>
      </c>
      <c r="C85" s="194">
        <v>4.05</v>
      </c>
      <c r="D85" s="196">
        <v>79.400000000000006</v>
      </c>
      <c r="E85" s="193">
        <f t="shared" si="0"/>
        <v>0.18665086015939844</v>
      </c>
      <c r="F85" s="46"/>
      <c r="G85" s="46"/>
      <c r="H85" s="46"/>
      <c r="I85" s="46"/>
      <c r="J85" s="46"/>
      <c r="K85" s="46"/>
      <c r="L85" s="46"/>
      <c r="M85" s="46"/>
      <c r="N85" s="46"/>
      <c r="O85" s="46"/>
    </row>
    <row r="86" spans="1:15">
      <c r="A86" s="46"/>
      <c r="B86" s="178">
        <f t="shared" si="1"/>
        <v>63</v>
      </c>
      <c r="C86" s="194">
        <v>4.0999999999999996</v>
      </c>
      <c r="D86" s="196">
        <v>78.400000000000006</v>
      </c>
      <c r="E86" s="193">
        <f t="shared" si="0"/>
        <v>0.1663527542205345</v>
      </c>
      <c r="F86" s="46"/>
      <c r="G86" s="46"/>
      <c r="H86" s="46"/>
      <c r="I86" s="46"/>
      <c r="J86" s="46"/>
      <c r="K86" s="46"/>
      <c r="L86" s="46"/>
      <c r="M86" s="46"/>
      <c r="N86" s="46"/>
      <c r="O86" s="46"/>
    </row>
    <row r="87" spans="1:15">
      <c r="A87" s="46"/>
      <c r="B87" s="178">
        <f t="shared" si="1"/>
        <v>64</v>
      </c>
      <c r="C87" s="194">
        <v>4.1500000000000004</v>
      </c>
      <c r="D87" s="196">
        <v>77.599999999999994</v>
      </c>
      <c r="E87" s="193">
        <f t="shared" si="0"/>
        <v>0.1517155150058368</v>
      </c>
      <c r="F87" s="46"/>
      <c r="G87" s="46"/>
      <c r="H87" s="46"/>
      <c r="I87" s="46"/>
      <c r="J87" s="46"/>
      <c r="K87" s="46"/>
      <c r="L87" s="46"/>
      <c r="M87" s="46"/>
      <c r="N87" s="46"/>
      <c r="O87" s="46"/>
    </row>
    <row r="88" spans="1:15">
      <c r="A88" s="46"/>
      <c r="B88" s="178">
        <f t="shared" si="1"/>
        <v>65</v>
      </c>
      <c r="C88" s="194">
        <v>4.2</v>
      </c>
      <c r="D88" s="196">
        <v>77.099999999999994</v>
      </c>
      <c r="E88" s="193">
        <f t="shared" si="0"/>
        <v>0.14322868204258049</v>
      </c>
      <c r="F88" s="46"/>
      <c r="G88" s="46"/>
      <c r="H88" s="46"/>
      <c r="I88" s="46"/>
      <c r="J88" s="46"/>
      <c r="K88" s="46"/>
      <c r="L88" s="46"/>
      <c r="M88" s="46"/>
      <c r="N88" s="46"/>
      <c r="O88" s="46"/>
    </row>
    <row r="89" spans="1:15">
      <c r="A89" s="46"/>
      <c r="B89" s="178">
        <f t="shared" si="1"/>
        <v>66</v>
      </c>
      <c r="C89" s="194">
        <v>4.25</v>
      </c>
      <c r="D89" s="196">
        <v>77.099999999999994</v>
      </c>
      <c r="E89" s="193">
        <f t="shared" ref="E89:E94" si="2">0.00002*(10^(D89/20))</f>
        <v>0.14322868204258049</v>
      </c>
      <c r="F89" s="46"/>
      <c r="G89" s="46"/>
      <c r="H89" s="46"/>
      <c r="I89" s="46"/>
      <c r="J89" s="46"/>
      <c r="K89" s="46"/>
      <c r="L89" s="46"/>
      <c r="M89" s="46"/>
      <c r="N89" s="46"/>
      <c r="O89" s="46"/>
    </row>
    <row r="90" spans="1:15">
      <c r="A90" s="46"/>
      <c r="B90" s="178">
        <f t="shared" ref="B90:B94" si="3">B89+1</f>
        <v>67</v>
      </c>
      <c r="C90" s="194">
        <v>4.3</v>
      </c>
      <c r="D90" s="196">
        <v>76.099999999999994</v>
      </c>
      <c r="E90" s="193">
        <f t="shared" si="2"/>
        <v>0.12765269723810987</v>
      </c>
      <c r="F90" s="46"/>
      <c r="G90" s="46"/>
      <c r="H90" s="46"/>
      <c r="I90" s="46"/>
      <c r="J90" s="46"/>
      <c r="K90" s="46"/>
      <c r="L90" s="46"/>
      <c r="M90" s="46"/>
      <c r="N90" s="46"/>
      <c r="O90" s="46"/>
    </row>
    <row r="91" spans="1:15">
      <c r="A91" s="46"/>
      <c r="B91" s="178">
        <f t="shared" si="3"/>
        <v>68</v>
      </c>
      <c r="C91" s="194">
        <v>4.3499999999999996</v>
      </c>
      <c r="D91" s="196">
        <v>75.400000000000006</v>
      </c>
      <c r="E91" s="193">
        <f t="shared" si="2"/>
        <v>0.11776873107111796</v>
      </c>
      <c r="F91" s="46"/>
      <c r="G91" s="46"/>
      <c r="H91" s="46"/>
      <c r="I91" s="46"/>
      <c r="J91" s="46"/>
      <c r="K91" s="46"/>
      <c r="L91" s="46"/>
      <c r="M91" s="46"/>
      <c r="N91" s="46"/>
      <c r="O91" s="46"/>
    </row>
    <row r="92" spans="1:15">
      <c r="A92" s="46"/>
      <c r="B92" s="178">
        <f t="shared" si="3"/>
        <v>69</v>
      </c>
      <c r="C92" s="194">
        <v>4.4000000000000004</v>
      </c>
      <c r="D92" s="196">
        <v>74.900000000000006</v>
      </c>
      <c r="E92" s="193">
        <f t="shared" si="2"/>
        <v>0.11118085145408091</v>
      </c>
      <c r="F92" s="46"/>
      <c r="G92" s="46"/>
      <c r="H92" s="46"/>
      <c r="I92" s="46"/>
      <c r="J92" s="46"/>
      <c r="K92" s="46"/>
      <c r="L92" s="46"/>
      <c r="M92" s="46"/>
      <c r="N92" s="46"/>
      <c r="O92" s="46"/>
    </row>
    <row r="93" spans="1:15">
      <c r="A93" s="46"/>
      <c r="B93" s="178">
        <f t="shared" si="3"/>
        <v>70</v>
      </c>
      <c r="C93" s="194">
        <v>4.45</v>
      </c>
      <c r="D93" s="196">
        <v>73.8</v>
      </c>
      <c r="E93" s="193">
        <f t="shared" si="2"/>
        <v>9.7955763873689275E-2</v>
      </c>
      <c r="F93" s="46"/>
      <c r="G93" s="46"/>
      <c r="H93" s="46"/>
      <c r="I93" s="46"/>
      <c r="J93" s="46"/>
      <c r="K93" s="46"/>
      <c r="L93" s="46"/>
      <c r="M93" s="46"/>
      <c r="N93" s="46"/>
      <c r="O93" s="46"/>
    </row>
    <row r="94" spans="1:15">
      <c r="A94" s="46"/>
      <c r="B94" s="178">
        <f t="shared" si="3"/>
        <v>71</v>
      </c>
      <c r="C94" s="194">
        <v>4.5</v>
      </c>
      <c r="D94" s="196">
        <v>73.2</v>
      </c>
      <c r="E94" s="193">
        <f t="shared" si="2"/>
        <v>9.1417637922975067E-2</v>
      </c>
      <c r="F94" s="46"/>
      <c r="G94" s="46"/>
      <c r="H94" s="46"/>
      <c r="I94" s="46"/>
      <c r="J94" s="46"/>
      <c r="K94" s="46"/>
      <c r="L94" s="46"/>
      <c r="M94" s="46"/>
      <c r="N94" s="46"/>
      <c r="O94" s="46"/>
    </row>
    <row r="95" spans="1:15">
      <c r="A95" s="46"/>
      <c r="B95" s="46"/>
      <c r="C95" s="46"/>
      <c r="D95" s="46"/>
      <c r="E95" s="46"/>
      <c r="F95" s="46"/>
      <c r="G95" s="46"/>
      <c r="H95" s="46"/>
      <c r="I95" s="46"/>
      <c r="J95" s="46"/>
      <c r="K95" s="46"/>
      <c r="L95" s="46"/>
      <c r="M95" s="46"/>
      <c r="N95" s="46"/>
      <c r="O95" s="46"/>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W195"/>
  <sheetViews>
    <sheetView topLeftCell="B64" zoomScale="90" zoomScaleNormal="90" workbookViewId="0">
      <selection activeCell="E80" sqref="E80"/>
    </sheetView>
  </sheetViews>
  <sheetFormatPr defaultColWidth="9.1796875" defaultRowHeight="14.5"/>
  <cols>
    <col min="1" max="1" width="9.1796875" style="40"/>
    <col min="2" max="2" width="12.7265625" style="40" customWidth="1"/>
    <col min="3" max="3" width="10.453125" style="40" customWidth="1"/>
    <col min="4" max="4" width="11.7265625" style="40" customWidth="1"/>
    <col min="5" max="5" width="11" style="40" customWidth="1"/>
    <col min="6" max="6" width="14.1796875" style="40" customWidth="1"/>
    <col min="7" max="7" width="12.7265625" style="40" customWidth="1"/>
    <col min="8" max="8" width="10.453125" style="40" customWidth="1"/>
    <col min="9" max="9" width="11.7265625" style="40" customWidth="1"/>
    <col min="10" max="10" width="11" style="40" customWidth="1"/>
    <col min="11" max="11" width="14.1796875" style="40" customWidth="1"/>
    <col min="12" max="12" width="12.7265625" style="40" customWidth="1"/>
    <col min="13" max="13" width="10.453125" style="40" customWidth="1"/>
    <col min="14" max="14" width="13" style="40" customWidth="1"/>
    <col min="15" max="15" width="11" style="40" customWidth="1"/>
    <col min="16" max="16" width="14.1796875" style="40" customWidth="1"/>
    <col min="17" max="17" width="12.7265625" style="40" customWidth="1"/>
    <col min="18" max="18" width="10.453125" style="40" customWidth="1"/>
    <col min="19" max="19" width="11.7265625" style="40" customWidth="1"/>
    <col min="20" max="20" width="11" style="40" customWidth="1"/>
    <col min="21" max="21" width="14.1796875" style="40" customWidth="1"/>
    <col min="22" max="16384" width="9.1796875" style="40"/>
  </cols>
  <sheetData>
    <row r="1" spans="1:22">
      <c r="A1" s="46"/>
      <c r="B1" s="46"/>
      <c r="C1" s="46"/>
      <c r="D1" s="46"/>
      <c r="E1" s="46"/>
      <c r="F1" s="46"/>
      <c r="G1" s="46"/>
      <c r="H1" s="46"/>
      <c r="I1" s="46"/>
      <c r="J1" s="46"/>
      <c r="K1" s="46"/>
      <c r="L1" s="46"/>
      <c r="M1" s="46"/>
      <c r="N1" s="46"/>
      <c r="O1" s="46"/>
      <c r="P1" s="46"/>
      <c r="Q1" s="46"/>
      <c r="R1" s="46"/>
      <c r="S1" s="46"/>
      <c r="T1" s="46"/>
      <c r="U1" s="46"/>
      <c r="V1" s="46"/>
    </row>
    <row r="2" spans="1:22">
      <c r="A2" s="46"/>
      <c r="B2" s="7"/>
      <c r="C2" s="8"/>
      <c r="D2" s="8"/>
      <c r="E2" s="8"/>
      <c r="F2" s="8"/>
      <c r="G2" s="8"/>
      <c r="H2" s="8"/>
      <c r="I2" s="8"/>
      <c r="J2" s="8"/>
      <c r="K2" s="8"/>
      <c r="L2" s="8"/>
      <c r="M2" s="8"/>
      <c r="N2" s="8"/>
      <c r="O2" s="8"/>
      <c r="P2" s="8"/>
      <c r="Q2" s="8"/>
      <c r="R2" s="8"/>
      <c r="S2" s="8"/>
      <c r="T2" s="8"/>
      <c r="U2" s="9"/>
      <c r="V2" s="46"/>
    </row>
    <row r="3" spans="1:22">
      <c r="A3" s="46"/>
      <c r="B3" s="10"/>
      <c r="C3" s="11"/>
      <c r="D3" s="11"/>
      <c r="E3" s="11"/>
      <c r="F3" s="11"/>
      <c r="G3" s="11"/>
      <c r="H3" s="11" t="s">
        <v>2</v>
      </c>
      <c r="I3" s="11"/>
      <c r="J3" s="11"/>
      <c r="K3" s="11"/>
      <c r="L3" s="11"/>
      <c r="M3" s="11"/>
      <c r="N3" s="11"/>
      <c r="O3" s="11"/>
      <c r="P3" s="11"/>
      <c r="Q3" s="11"/>
      <c r="R3" s="11"/>
      <c r="S3" s="11"/>
      <c r="T3" s="11"/>
      <c r="U3" s="12"/>
      <c r="V3" s="46"/>
    </row>
    <row r="4" spans="1:22">
      <c r="A4" s="46"/>
      <c r="B4" s="10"/>
      <c r="C4" s="11"/>
      <c r="D4" s="11"/>
      <c r="E4" s="11"/>
      <c r="F4" s="11"/>
      <c r="G4" s="11"/>
      <c r="H4" s="11" t="s">
        <v>4</v>
      </c>
      <c r="I4" s="11"/>
      <c r="J4" s="11"/>
      <c r="K4" s="11"/>
      <c r="L4" s="11"/>
      <c r="M4" s="11"/>
      <c r="N4" s="11"/>
      <c r="O4" s="11"/>
      <c r="P4" s="11"/>
      <c r="Q4" s="11"/>
      <c r="R4" s="11"/>
      <c r="S4" s="11"/>
      <c r="T4" s="11"/>
      <c r="U4" s="12"/>
      <c r="V4" s="46"/>
    </row>
    <row r="5" spans="1:22">
      <c r="A5" s="46"/>
      <c r="B5" s="10"/>
      <c r="C5" s="11"/>
      <c r="D5" s="11"/>
      <c r="E5" s="11"/>
      <c r="F5" s="11"/>
      <c r="G5" s="11"/>
      <c r="H5" s="11"/>
      <c r="I5" s="11"/>
      <c r="J5" s="11"/>
      <c r="K5" s="11"/>
      <c r="L5" s="11"/>
      <c r="M5" s="11"/>
      <c r="N5" s="11"/>
      <c r="O5" s="11"/>
      <c r="P5" s="11"/>
      <c r="Q5" s="11"/>
      <c r="R5" s="11"/>
      <c r="S5" s="11"/>
      <c r="T5" s="11"/>
      <c r="U5" s="12"/>
      <c r="V5" s="46"/>
    </row>
    <row r="6" spans="1:22">
      <c r="A6" s="46"/>
      <c r="B6" s="10"/>
      <c r="C6" s="11"/>
      <c r="D6" s="11"/>
      <c r="E6" s="11"/>
      <c r="F6" s="11"/>
      <c r="G6" s="11"/>
      <c r="H6" s="11"/>
      <c r="I6" s="11"/>
      <c r="J6" s="11"/>
      <c r="K6" s="11"/>
      <c r="L6" s="11"/>
      <c r="M6" s="11"/>
      <c r="N6" s="11"/>
      <c r="O6" s="11"/>
      <c r="P6" s="11"/>
      <c r="Q6" s="11"/>
      <c r="R6" s="11"/>
      <c r="S6" s="11"/>
      <c r="T6" s="11"/>
      <c r="U6" s="12"/>
      <c r="V6" s="46"/>
    </row>
    <row r="7" spans="1:22">
      <c r="A7" s="46"/>
      <c r="B7" s="10"/>
      <c r="C7" s="13" t="s">
        <v>0</v>
      </c>
      <c r="D7" s="11"/>
      <c r="E7" s="11"/>
      <c r="F7" s="11"/>
      <c r="G7" s="46"/>
      <c r="H7" s="46"/>
      <c r="I7" s="733" t="s">
        <v>559</v>
      </c>
      <c r="J7" s="152"/>
      <c r="K7" s="153" t="s">
        <v>897</v>
      </c>
      <c r="L7" s="11"/>
      <c r="M7" s="11"/>
      <c r="N7" s="11"/>
      <c r="O7" s="11"/>
      <c r="P7" s="11"/>
      <c r="Q7" s="14" t="s">
        <v>5</v>
      </c>
      <c r="R7" s="15">
        <f>'Program Overview'!K6</f>
        <v>7</v>
      </c>
      <c r="S7" s="16">
        <f>'Program Overview'!M6</f>
        <v>43752</v>
      </c>
      <c r="T7" s="11"/>
      <c r="U7" s="12"/>
      <c r="V7" s="46"/>
    </row>
    <row r="8" spans="1:22">
      <c r="A8" s="46"/>
      <c r="B8" s="10"/>
      <c r="C8" s="13" t="s">
        <v>1</v>
      </c>
      <c r="D8" s="11"/>
      <c r="E8" s="11"/>
      <c r="F8" s="11"/>
      <c r="G8" s="11"/>
      <c r="H8" s="11"/>
      <c r="I8" s="11"/>
      <c r="J8" s="11"/>
      <c r="K8" s="11"/>
      <c r="L8" s="11"/>
      <c r="M8" s="11"/>
      <c r="N8" s="11"/>
      <c r="O8" s="11"/>
      <c r="P8" s="11"/>
      <c r="Q8" s="11"/>
      <c r="R8" s="11"/>
      <c r="S8" s="11"/>
      <c r="T8" s="11"/>
      <c r="U8" s="12"/>
      <c r="V8" s="46"/>
    </row>
    <row r="9" spans="1:22">
      <c r="A9" s="46"/>
      <c r="B9" s="17"/>
      <c r="C9" s="18"/>
      <c r="D9" s="18"/>
      <c r="E9" s="18"/>
      <c r="F9" s="18"/>
      <c r="G9" s="18"/>
      <c r="H9" s="18"/>
      <c r="I9" s="18"/>
      <c r="J9" s="18"/>
      <c r="K9" s="18"/>
      <c r="L9" s="18"/>
      <c r="M9" s="18"/>
      <c r="N9" s="18"/>
      <c r="O9" s="18"/>
      <c r="P9" s="18"/>
      <c r="Q9" s="18"/>
      <c r="R9" s="18"/>
      <c r="S9" s="18"/>
      <c r="T9" s="18"/>
      <c r="U9" s="19"/>
      <c r="V9" s="46"/>
    </row>
    <row r="10" spans="1:22">
      <c r="A10" s="46"/>
      <c r="B10" s="207" t="s">
        <v>197</v>
      </c>
      <c r="C10" s="208"/>
      <c r="D10" s="721"/>
      <c r="E10" s="727">
        <f>'Passby Data Set 5'!E9</f>
        <v>5</v>
      </c>
      <c r="F10" s="720"/>
      <c r="G10" s="583" t="s">
        <v>817</v>
      </c>
      <c r="H10" s="105"/>
      <c r="I10" s="105"/>
      <c r="J10" s="582"/>
      <c r="K10" s="207"/>
      <c r="L10" s="59"/>
      <c r="M10" s="59"/>
      <c r="N10" s="59"/>
      <c r="O10" s="59"/>
      <c r="P10" s="59" t="s">
        <v>203</v>
      </c>
      <c r="Q10" s="59"/>
      <c r="R10" s="59"/>
      <c r="S10" s="59"/>
      <c r="T10" s="59"/>
      <c r="U10" s="227"/>
      <c r="V10" s="46"/>
    </row>
    <row r="11" spans="1:22">
      <c r="A11" s="46"/>
      <c r="B11" s="209" t="s">
        <v>9</v>
      </c>
      <c r="C11" s="210"/>
      <c r="D11" s="728" t="str">
        <f>'Passby Data Set 5'!E10</f>
        <v>CRH3 Series (based on Siemens)</v>
      </c>
      <c r="E11" s="95"/>
      <c r="F11" s="722"/>
      <c r="G11" s="581"/>
      <c r="H11" s="105"/>
      <c r="I11" s="105"/>
      <c r="J11" s="582"/>
      <c r="K11" s="581"/>
      <c r="L11" s="105"/>
      <c r="M11" s="105"/>
      <c r="N11" s="105"/>
      <c r="O11" s="105"/>
      <c r="P11" s="105"/>
      <c r="Q11" s="105"/>
      <c r="R11" s="105"/>
      <c r="S11" s="105"/>
      <c r="T11" s="105"/>
      <c r="U11" s="582"/>
      <c r="V11" s="46"/>
    </row>
    <row r="12" spans="1:22" ht="15">
      <c r="A12" s="46"/>
      <c r="B12" s="106" t="s">
        <v>205</v>
      </c>
      <c r="C12" s="8"/>
      <c r="D12" s="8"/>
      <c r="E12" s="8"/>
      <c r="F12" s="8"/>
      <c r="G12" s="8"/>
      <c r="H12" s="8"/>
      <c r="I12" s="8"/>
      <c r="J12" s="8"/>
      <c r="K12" s="127" t="s">
        <v>287</v>
      </c>
      <c r="L12" s="128"/>
      <c r="M12" s="128"/>
      <c r="N12" s="128"/>
      <c r="O12" s="128"/>
      <c r="P12" s="8"/>
      <c r="Q12" s="8"/>
      <c r="R12" s="8"/>
      <c r="S12" s="8"/>
      <c r="T12" s="8"/>
      <c r="U12" s="9"/>
      <c r="V12" s="46"/>
    </row>
    <row r="13" spans="1:22" ht="15">
      <c r="A13" s="46"/>
      <c r="B13" s="10" t="s">
        <v>342</v>
      </c>
      <c r="C13" s="11"/>
      <c r="D13" s="15">
        <f>'Passby Data Set 3'!H22</f>
        <v>271</v>
      </c>
      <c r="E13" s="15" t="s">
        <v>242</v>
      </c>
      <c r="F13" s="107">
        <f>D13*(1/3600)*(1000/1)</f>
        <v>75.277777777777771</v>
      </c>
      <c r="G13" s="15" t="s">
        <v>243</v>
      </c>
      <c r="H13" s="11"/>
      <c r="I13" s="11"/>
      <c r="J13" s="11"/>
      <c r="K13" s="129" t="s">
        <v>288</v>
      </c>
      <c r="L13" s="125"/>
      <c r="M13" s="125"/>
      <c r="N13" s="125"/>
      <c r="O13" s="125"/>
      <c r="P13" s="11"/>
      <c r="Q13" s="11"/>
      <c r="R13" s="11"/>
      <c r="S13" s="11"/>
      <c r="T13" s="11"/>
      <c r="U13" s="12"/>
      <c r="V13" s="46"/>
    </row>
    <row r="14" spans="1:22">
      <c r="A14" s="46"/>
      <c r="B14" s="10" t="s">
        <v>244</v>
      </c>
      <c r="C14" s="11"/>
      <c r="D14" s="15">
        <f>'Passby Data Set 3'!H21</f>
        <v>200</v>
      </c>
      <c r="E14" s="15" t="s">
        <v>15</v>
      </c>
      <c r="F14" s="11" t="s">
        <v>381</v>
      </c>
      <c r="G14" s="11"/>
      <c r="H14" s="11"/>
      <c r="I14" s="11"/>
      <c r="J14" s="11"/>
      <c r="K14" s="154" t="s">
        <v>289</v>
      </c>
      <c r="L14" s="125"/>
      <c r="M14" s="125"/>
      <c r="N14" s="125"/>
      <c r="O14" s="125"/>
      <c r="P14" s="11"/>
      <c r="Q14" s="11"/>
      <c r="R14" s="11"/>
      <c r="S14" s="11"/>
      <c r="T14" s="11"/>
      <c r="U14" s="12"/>
      <c r="V14" s="46"/>
    </row>
    <row r="15" spans="1:22" ht="16.5">
      <c r="A15" s="46"/>
      <c r="B15" s="10" t="s">
        <v>818</v>
      </c>
      <c r="C15" s="11"/>
      <c r="D15" s="15">
        <f>D14/F13</f>
        <v>2.6568265682656831</v>
      </c>
      <c r="E15" s="15" t="s">
        <v>237</v>
      </c>
      <c r="F15" s="76" t="s">
        <v>248</v>
      </c>
      <c r="G15" s="11"/>
      <c r="H15" s="11"/>
      <c r="I15" s="11"/>
      <c r="J15" s="11"/>
      <c r="K15" s="10" t="s">
        <v>290</v>
      </c>
      <c r="L15" s="125"/>
      <c r="M15" s="125"/>
      <c r="N15" s="125"/>
      <c r="O15" s="125"/>
      <c r="P15" s="11"/>
      <c r="Q15" s="11"/>
      <c r="R15" s="11"/>
      <c r="S15" s="11"/>
      <c r="T15" s="11"/>
      <c r="U15" s="12"/>
      <c r="V15" s="46"/>
    </row>
    <row r="16" spans="1:22"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ht="16.5">
      <c r="A17" s="46"/>
      <c r="B17" s="10" t="s">
        <v>298</v>
      </c>
      <c r="C17" s="11"/>
      <c r="D17" s="107">
        <v>4.7</v>
      </c>
      <c r="E17" s="15" t="s">
        <v>237</v>
      </c>
      <c r="F17" s="76" t="s">
        <v>250</v>
      </c>
      <c r="G17" s="11"/>
      <c r="H17" s="11"/>
      <c r="I17" s="11"/>
      <c r="J17" s="11"/>
      <c r="K17" s="116" t="s">
        <v>299</v>
      </c>
      <c r="L17" s="125"/>
      <c r="M17" s="125"/>
      <c r="N17" s="125"/>
      <c r="O17" s="125"/>
      <c r="P17" s="11"/>
      <c r="Q17" s="11"/>
      <c r="R17" s="11"/>
      <c r="S17" s="11"/>
      <c r="T17" s="11"/>
      <c r="U17" s="12"/>
      <c r="V17" s="46"/>
    </row>
    <row r="18" spans="1:22"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ht="16.5">
      <c r="A20" s="46"/>
      <c r="B20" s="10"/>
      <c r="C20" s="11"/>
      <c r="D20" s="15"/>
      <c r="E20" s="15"/>
      <c r="F20" s="11" t="s">
        <v>253</v>
      </c>
      <c r="G20" s="11"/>
      <c r="H20" s="11"/>
      <c r="I20" s="11"/>
      <c r="J20" s="11"/>
      <c r="K20" s="186" t="s">
        <v>369</v>
      </c>
      <c r="L20" s="11"/>
      <c r="M20" s="11"/>
      <c r="N20" s="11"/>
      <c r="O20" s="11"/>
      <c r="P20" s="11"/>
      <c r="Q20" s="11"/>
      <c r="R20" s="11"/>
      <c r="S20" s="11"/>
      <c r="T20" s="11"/>
      <c r="U20" s="12"/>
      <c r="V20" s="46"/>
    </row>
    <row r="21" spans="1:22"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c r="A22" s="46"/>
      <c r="B22" s="11"/>
      <c r="C22" s="11"/>
      <c r="D22" s="15"/>
      <c r="E22" s="15"/>
      <c r="F22" s="11"/>
      <c r="G22" s="11"/>
      <c r="H22" s="11"/>
      <c r="I22" s="11"/>
      <c r="J22" s="11"/>
      <c r="K22" s="46"/>
      <c r="L22" s="46"/>
      <c r="M22" s="46"/>
      <c r="N22" s="46"/>
      <c r="O22" s="46"/>
      <c r="P22" s="46"/>
      <c r="Q22" s="46"/>
      <c r="R22" s="46"/>
      <c r="S22" s="46"/>
      <c r="T22" s="46"/>
      <c r="U22" s="46"/>
      <c r="V22" s="46"/>
    </row>
    <row r="23" spans="1:22" ht="16.5">
      <c r="A23" s="46"/>
      <c r="B23" s="106" t="s">
        <v>206</v>
      </c>
      <c r="C23" s="8"/>
      <c r="D23" s="8"/>
      <c r="E23" s="8"/>
      <c r="F23" s="8"/>
      <c r="G23" s="8"/>
      <c r="H23" s="8"/>
      <c r="I23" s="8"/>
      <c r="J23" s="8"/>
      <c r="K23" s="8"/>
      <c r="L23" s="8"/>
      <c r="M23" s="8"/>
      <c r="N23" s="8"/>
      <c r="O23" s="8"/>
      <c r="P23" s="8"/>
      <c r="Q23" s="8"/>
      <c r="R23" s="8"/>
      <c r="S23" s="8"/>
      <c r="T23" s="8"/>
      <c r="U23" s="9"/>
      <c r="V23" s="46"/>
    </row>
    <row r="24" spans="1:22" ht="16.5">
      <c r="A24" s="46"/>
      <c r="B24" s="10" t="s">
        <v>223</v>
      </c>
      <c r="C24" s="11"/>
      <c r="D24" s="11"/>
      <c r="E24" s="11"/>
      <c r="F24" s="11"/>
      <c r="G24" s="11"/>
      <c r="H24" s="11"/>
      <c r="I24" s="11"/>
      <c r="J24" s="11" t="s">
        <v>396</v>
      </c>
      <c r="K24" s="11"/>
      <c r="L24" s="11"/>
      <c r="M24" s="11"/>
      <c r="N24" s="11"/>
      <c r="O24" s="11"/>
      <c r="P24" s="11"/>
      <c r="Q24" s="11"/>
      <c r="R24" s="11"/>
      <c r="S24" s="11"/>
      <c r="T24" s="11"/>
      <c r="U24" s="12"/>
      <c r="V24" s="46"/>
    </row>
    <row r="25" spans="1:22">
      <c r="A25" s="46"/>
      <c r="B25" s="10" t="s">
        <v>811</v>
      </c>
      <c r="C25" s="11"/>
      <c r="D25" s="11"/>
      <c r="E25" s="11"/>
      <c r="F25" s="11"/>
      <c r="G25" s="11"/>
      <c r="H25" s="11"/>
      <c r="I25" s="11"/>
      <c r="J25" s="11"/>
      <c r="K25" s="11"/>
      <c r="L25" s="11"/>
      <c r="M25" s="11"/>
      <c r="N25" s="11"/>
      <c r="O25" s="11"/>
      <c r="P25" s="11"/>
      <c r="Q25" s="11"/>
      <c r="R25" s="11"/>
      <c r="S25" s="11"/>
      <c r="T25" s="11"/>
      <c r="U25" s="12"/>
      <c r="V25" s="46"/>
    </row>
    <row r="26" spans="1:22">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215</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ht="16.5">
      <c r="A31" s="46"/>
      <c r="B31" s="10" t="s">
        <v>222</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ht="16.5">
      <c r="A33" s="46"/>
      <c r="B33" s="10"/>
      <c r="C33" s="11"/>
      <c r="D33" s="11"/>
      <c r="E33" s="11"/>
      <c r="F33" s="11"/>
      <c r="G33" s="11"/>
      <c r="H33" s="11"/>
      <c r="I33" s="11"/>
      <c r="J33" s="15" t="s">
        <v>228</v>
      </c>
      <c r="K33" s="11" t="s">
        <v>229</v>
      </c>
      <c r="L33" s="11"/>
      <c r="M33" s="11"/>
      <c r="N33" s="11"/>
      <c r="O33" s="11"/>
      <c r="P33" s="11"/>
      <c r="Q33" s="11"/>
      <c r="R33" s="11"/>
      <c r="S33" s="11"/>
      <c r="T33" s="11"/>
      <c r="U33" s="12"/>
      <c r="V33" s="46"/>
    </row>
    <row r="34" spans="1:22">
      <c r="A34" s="46"/>
      <c r="B34" s="10"/>
      <c r="C34" s="11"/>
      <c r="D34" s="11"/>
      <c r="E34" s="11"/>
      <c r="F34" s="11"/>
      <c r="G34" s="11" t="s">
        <v>728</v>
      </c>
      <c r="H34" s="11"/>
      <c r="I34" s="11"/>
      <c r="J34" s="11"/>
      <c r="K34" s="11"/>
      <c r="L34" s="11"/>
      <c r="M34" s="11"/>
      <c r="N34" s="11"/>
      <c r="O34" s="11"/>
      <c r="P34" s="11"/>
      <c r="Q34" s="11"/>
      <c r="R34" s="11"/>
      <c r="S34" s="11"/>
      <c r="T34" s="11"/>
      <c r="U34" s="12"/>
      <c r="V34" s="46"/>
    </row>
    <row r="35" spans="1:22">
      <c r="A35" s="46"/>
      <c r="B35" s="10"/>
      <c r="C35" s="11"/>
      <c r="D35" s="11"/>
      <c r="E35" s="11"/>
      <c r="F35" s="11"/>
      <c r="G35" s="11" t="s">
        <v>729</v>
      </c>
      <c r="H35" s="11"/>
      <c r="I35" s="11"/>
      <c r="J35" s="11"/>
      <c r="K35" s="11"/>
      <c r="L35" s="11"/>
      <c r="M35" s="11"/>
      <c r="N35" s="11"/>
      <c r="O35" s="11"/>
      <c r="P35" s="11"/>
      <c r="Q35" s="11"/>
      <c r="R35" s="11"/>
      <c r="S35" s="11"/>
      <c r="T35" s="11"/>
      <c r="U35" s="12"/>
      <c r="V35" s="46"/>
    </row>
    <row r="36" spans="1:22">
      <c r="A36" s="46"/>
      <c r="B36" s="17"/>
      <c r="C36" s="108"/>
      <c r="D36" s="18"/>
      <c r="E36" s="18"/>
      <c r="F36" s="18"/>
      <c r="G36" s="18"/>
      <c r="H36" s="18"/>
      <c r="I36" s="18"/>
      <c r="J36" s="18"/>
      <c r="K36" s="18"/>
      <c r="L36" s="18"/>
      <c r="M36" s="18"/>
      <c r="N36" s="18"/>
      <c r="O36" s="18"/>
      <c r="P36" s="18"/>
      <c r="Q36" s="18"/>
      <c r="R36" s="18"/>
      <c r="S36" s="18"/>
      <c r="T36" s="18"/>
      <c r="U36" s="19"/>
      <c r="V36" s="46"/>
    </row>
    <row r="37" spans="1:22" ht="33.75" customHeight="1">
      <c r="A37" s="46"/>
      <c r="B37" s="163" t="s">
        <v>192</v>
      </c>
      <c r="C37" s="101" t="s">
        <v>27</v>
      </c>
      <c r="D37" s="165" t="s">
        <v>230</v>
      </c>
      <c r="E37" s="163" t="s">
        <v>231</v>
      </c>
      <c r="F37" s="165" t="s">
        <v>233</v>
      </c>
      <c r="G37" s="163" t="s">
        <v>192</v>
      </c>
      <c r="H37" s="101" t="s">
        <v>27</v>
      </c>
      <c r="I37" s="165" t="s">
        <v>230</v>
      </c>
      <c r="J37" s="163" t="s">
        <v>231</v>
      </c>
      <c r="K37" s="165" t="s">
        <v>233</v>
      </c>
      <c r="L37" s="163" t="s">
        <v>192</v>
      </c>
      <c r="M37" s="101" t="s">
        <v>27</v>
      </c>
      <c r="N37" s="165" t="s">
        <v>230</v>
      </c>
      <c r="O37" s="163" t="s">
        <v>231</v>
      </c>
      <c r="P37" s="165" t="s">
        <v>233</v>
      </c>
      <c r="Q37" s="163" t="s">
        <v>192</v>
      </c>
      <c r="R37" s="101" t="s">
        <v>27</v>
      </c>
      <c r="S37" s="165" t="s">
        <v>230</v>
      </c>
      <c r="T37" s="163" t="s">
        <v>231</v>
      </c>
      <c r="U37" s="165" t="s">
        <v>233</v>
      </c>
      <c r="V37" s="46"/>
    </row>
    <row r="38" spans="1:22">
      <c r="A38" s="46"/>
      <c r="B38" s="41">
        <f>'Passby Data Set 1'!B24</f>
        <v>1</v>
      </c>
      <c r="C38" s="199">
        <f>'Passby Data Set 3'!C24</f>
        <v>1</v>
      </c>
      <c r="D38" s="102">
        <f>'Passby Data Set 5'!D24</f>
        <v>73.599999999999994</v>
      </c>
      <c r="E38" s="103">
        <f>'Passby Data Set 5'!E24</f>
        <v>9.5726018464527704E-2</v>
      </c>
      <c r="F38" s="104">
        <f t="shared" ref="F38:F55" si="0">(E38*E38)/($O$31*$O$31)</f>
        <v>22908676.527677741</v>
      </c>
      <c r="G38" s="41">
        <v>19</v>
      </c>
      <c r="H38" s="102">
        <f>'Passby Data Set 3'!C42</f>
        <v>1.9</v>
      </c>
      <c r="I38" s="102">
        <f>'Passby Data Set 5'!D42</f>
        <v>82.6</v>
      </c>
      <c r="J38" s="103">
        <f>'Passby Data Set 5'!E42</f>
        <v>0.26979257651833116</v>
      </c>
      <c r="K38" s="104">
        <f t="shared" ref="K38:K55" si="1">(J38*J38)/($O$31*$O$31)</f>
        <v>181970085.86099893</v>
      </c>
      <c r="L38" s="41">
        <v>37</v>
      </c>
      <c r="M38" s="102">
        <f>'Passby Data Set 3'!C60</f>
        <v>2.8</v>
      </c>
      <c r="N38" s="102">
        <f>'Passby Data Set 5'!D60</f>
        <v>82.9</v>
      </c>
      <c r="O38" s="103">
        <f>'Passby Data Set 5'!E60</f>
        <v>0.27927367221118787</v>
      </c>
      <c r="P38" s="104">
        <f t="shared" ref="P38:P55" si="2">(O38*O38)/($O$31*$O$31)</f>
        <v>194984459.97580501</v>
      </c>
      <c r="Q38" s="41">
        <v>55</v>
      </c>
      <c r="R38" s="102">
        <f>'Passby Data Set 3'!C78</f>
        <v>3.7</v>
      </c>
      <c r="S38" s="102">
        <f>'Passby Data Set 5'!D78</f>
        <v>82.2</v>
      </c>
      <c r="T38" s="103">
        <f>'Passby Data Set 5'!E78</f>
        <v>0.25764991033862722</v>
      </c>
      <c r="U38" s="104">
        <f t="shared" ref="U38:U54" si="3">(T38*T38)/($O$31*$O$31)</f>
        <v>165958690.74375659</v>
      </c>
      <c r="V38" s="46"/>
    </row>
    <row r="39" spans="1:22">
      <c r="A39" s="46"/>
      <c r="B39" s="41">
        <f>'Passby Data Set 1'!B25</f>
        <v>2</v>
      </c>
      <c r="C39" s="199">
        <f>'Passby Data Set 3'!C25</f>
        <v>1.05</v>
      </c>
      <c r="D39" s="102">
        <f>'Passby Data Set 5'!D25</f>
        <v>74.599999999999994</v>
      </c>
      <c r="E39" s="103">
        <f>'Passby Data Set 5'!E25</f>
        <v>0.10740635927405055</v>
      </c>
      <c r="F39" s="104">
        <f t="shared" si="0"/>
        <v>28840315.03126606</v>
      </c>
      <c r="G39" s="41">
        <f>G38+1</f>
        <v>20</v>
      </c>
      <c r="H39" s="102">
        <f>'Passby Data Set 3'!C43</f>
        <v>1.95</v>
      </c>
      <c r="I39" s="102">
        <f>'Passby Data Set 5'!D43</f>
        <v>82.5</v>
      </c>
      <c r="J39" s="103">
        <f>'Passby Data Set 5'!E43</f>
        <v>0.26670428643266519</v>
      </c>
      <c r="K39" s="104">
        <f t="shared" si="1"/>
        <v>177827941.00389278</v>
      </c>
      <c r="L39" s="41">
        <f>L38+1</f>
        <v>38</v>
      </c>
      <c r="M39" s="102">
        <f>'Passby Data Set 3'!C61</f>
        <v>2.85</v>
      </c>
      <c r="N39" s="102">
        <f>'Passby Data Set 5'!D61</f>
        <v>83.3</v>
      </c>
      <c r="O39" s="103">
        <f>'Passby Data Set 5'!E61</f>
        <v>0.29243543489134394</v>
      </c>
      <c r="P39" s="104">
        <f t="shared" si="2"/>
        <v>213796208.95022359</v>
      </c>
      <c r="Q39" s="41">
        <f>Q38+1</f>
        <v>56</v>
      </c>
      <c r="R39" s="102">
        <f>'Passby Data Set 3'!C79</f>
        <v>3.75</v>
      </c>
      <c r="S39" s="102">
        <f>'Passby Data Set 5'!D79</f>
        <v>82.2</v>
      </c>
      <c r="T39" s="103">
        <f>'Passby Data Set 5'!E79</f>
        <v>0.25764991033862722</v>
      </c>
      <c r="U39" s="104">
        <f t="shared" si="3"/>
        <v>165958690.74375659</v>
      </c>
      <c r="V39" s="46"/>
    </row>
    <row r="40" spans="1:22">
      <c r="A40" s="46"/>
      <c r="B40" s="41">
        <f>'Passby Data Set 1'!B26</f>
        <v>3</v>
      </c>
      <c r="C40" s="199">
        <f>'Passby Data Set 3'!C26</f>
        <v>1.1000000000000001</v>
      </c>
      <c r="D40" s="102">
        <f>'Passby Data Set 5'!D26</f>
        <v>75.5</v>
      </c>
      <c r="E40" s="103">
        <f>'Passby Data Set 5'!E26</f>
        <v>0.11913242870580223</v>
      </c>
      <c r="F40" s="104">
        <f t="shared" si="0"/>
        <v>35481338.923357628</v>
      </c>
      <c r="G40" s="41">
        <f t="shared" ref="G40:G55" si="4">G39+1</f>
        <v>21</v>
      </c>
      <c r="H40" s="102">
        <f>'Passby Data Set 3'!C44</f>
        <v>2</v>
      </c>
      <c r="I40" s="102">
        <f>'Passby Data Set 5'!D44</f>
        <v>82.7</v>
      </c>
      <c r="J40" s="103">
        <f>'Passby Data Set 5'!E44</f>
        <v>0.27291662731778482</v>
      </c>
      <c r="K40" s="104">
        <f t="shared" si="1"/>
        <v>186208713.66628659</v>
      </c>
      <c r="L40" s="41">
        <f t="shared" ref="L40:L55" si="5">L39+1</f>
        <v>39</v>
      </c>
      <c r="M40" s="102">
        <f>'Passby Data Set 3'!C62</f>
        <v>2.9</v>
      </c>
      <c r="N40" s="102">
        <f>'Passby Data Set 5'!D62</f>
        <v>83.1</v>
      </c>
      <c r="O40" s="103">
        <f>'Passby Data Set 5'!E62</f>
        <v>0.28577879170222042</v>
      </c>
      <c r="P40" s="104">
        <f t="shared" si="2"/>
        <v>204173794.46695271</v>
      </c>
      <c r="Q40" s="41">
        <f t="shared" ref="Q40:Q54" si="6">Q39+1</f>
        <v>57</v>
      </c>
      <c r="R40" s="102">
        <f>'Passby Data Set 3'!C80</f>
        <v>3.8</v>
      </c>
      <c r="S40" s="102">
        <f>'Passby Data Set 5'!D80</f>
        <v>81.7</v>
      </c>
      <c r="T40" s="103">
        <f>'Passby Data Set 5'!E80</f>
        <v>0.24323720012927363</v>
      </c>
      <c r="U40" s="104">
        <f t="shared" si="3"/>
        <v>147910838.81682077</v>
      </c>
      <c r="V40" s="46"/>
    </row>
    <row r="41" spans="1:22">
      <c r="A41" s="46"/>
      <c r="B41" s="41">
        <f>'Passby Data Set 1'!B27</f>
        <v>4</v>
      </c>
      <c r="C41" s="199">
        <f>'Passby Data Set 3'!C27</f>
        <v>1.1499999999999999</v>
      </c>
      <c r="D41" s="102">
        <f>'Passby Data Set 5'!D27</f>
        <v>76.599999999999994</v>
      </c>
      <c r="E41" s="103">
        <f>'Passby Data Set 5'!E27</f>
        <v>0.13521659507839648</v>
      </c>
      <c r="F41" s="104">
        <f t="shared" si="0"/>
        <v>45708818.961487584</v>
      </c>
      <c r="G41" s="41">
        <f t="shared" si="4"/>
        <v>22</v>
      </c>
      <c r="H41" s="102">
        <f>'Passby Data Set 3'!C45</f>
        <v>2.0499999999999998</v>
      </c>
      <c r="I41" s="102">
        <f>'Passby Data Set 5'!D45</f>
        <v>82.3</v>
      </c>
      <c r="J41" s="103">
        <f>'Passby Data Set 5'!E45</f>
        <v>0.26063335569046031</v>
      </c>
      <c r="K41" s="104">
        <f t="shared" si="1"/>
        <v>169824365.24617496</v>
      </c>
      <c r="L41" s="41">
        <f t="shared" si="5"/>
        <v>40</v>
      </c>
      <c r="M41" s="102">
        <f>'Passby Data Set 3'!C63</f>
        <v>2.95</v>
      </c>
      <c r="N41" s="102">
        <f>'Passby Data Set 5'!D63</f>
        <v>83.4</v>
      </c>
      <c r="O41" s="103">
        <f>'Passby Data Set 5'!E63</f>
        <v>0.29582167763364181</v>
      </c>
      <c r="P41" s="104">
        <f t="shared" si="2"/>
        <v>218776162.39495572</v>
      </c>
      <c r="Q41" s="41">
        <f t="shared" si="6"/>
        <v>58</v>
      </c>
      <c r="R41" s="102">
        <f>'Passby Data Set 3'!C81</f>
        <v>3.85</v>
      </c>
      <c r="S41" s="102">
        <f>'Passby Data Set 5'!D81</f>
        <v>81.400000000000006</v>
      </c>
      <c r="T41" s="103">
        <f>'Passby Data Set 5'!E81</f>
        <v>0.23497951098790637</v>
      </c>
      <c r="U41" s="104">
        <f t="shared" si="3"/>
        <v>138038426.460289</v>
      </c>
      <c r="V41" s="46"/>
    </row>
    <row r="42" spans="1:22">
      <c r="A42" s="46"/>
      <c r="B42" s="41">
        <f>'Passby Data Set 1'!B28</f>
        <v>5</v>
      </c>
      <c r="C42" s="199">
        <f>'Passby Data Set 3'!C28</f>
        <v>1.2</v>
      </c>
      <c r="D42" s="102">
        <f>'Passby Data Set 5'!D28</f>
        <v>77.3</v>
      </c>
      <c r="E42" s="103">
        <f>'Passby Data Set 5'!E28</f>
        <v>0.14656490662778088</v>
      </c>
      <c r="F42" s="104">
        <f t="shared" si="0"/>
        <v>53703179.637025312</v>
      </c>
      <c r="G42" s="41">
        <f t="shared" si="4"/>
        <v>23</v>
      </c>
      <c r="H42" s="102">
        <f>'Passby Data Set 3'!C46</f>
        <v>2.1</v>
      </c>
      <c r="I42" s="102">
        <f>'Passby Data Set 5'!D46</f>
        <v>82.1</v>
      </c>
      <c r="J42" s="103">
        <f>'Passby Data Set 5'!E46</f>
        <v>0.25470061620333234</v>
      </c>
      <c r="K42" s="104">
        <f t="shared" si="1"/>
        <v>162181009.73589295</v>
      </c>
      <c r="L42" s="41">
        <f t="shared" si="5"/>
        <v>41</v>
      </c>
      <c r="M42" s="102">
        <f>'Passby Data Set 3'!C64</f>
        <v>3</v>
      </c>
      <c r="N42" s="102">
        <f>'Passby Data Set 5'!D64</f>
        <v>83.2</v>
      </c>
      <c r="O42" s="103">
        <f>'Passby Data Set 5'!E64</f>
        <v>0.28908795414918587</v>
      </c>
      <c r="P42" s="104">
        <f t="shared" si="2"/>
        <v>208929613.08540446</v>
      </c>
      <c r="Q42" s="41">
        <f t="shared" si="6"/>
        <v>59</v>
      </c>
      <c r="R42" s="102">
        <f>'Passby Data Set 3'!C82</f>
        <v>3.9</v>
      </c>
      <c r="S42" s="102">
        <f>'Passby Data Set 5'!D82</f>
        <v>81.3</v>
      </c>
      <c r="T42" s="103">
        <f>'Passby Data Set 5'!E82</f>
        <v>0.23228972276806861</v>
      </c>
      <c r="U42" s="104">
        <f t="shared" si="3"/>
        <v>134896288.25916541</v>
      </c>
      <c r="V42" s="46"/>
    </row>
    <row r="43" spans="1:22">
      <c r="A43" s="46"/>
      <c r="B43" s="41">
        <f>'Passby Data Set 1'!B29</f>
        <v>6</v>
      </c>
      <c r="C43" s="199">
        <f>'Passby Data Set 3'!C29</f>
        <v>1.25</v>
      </c>
      <c r="D43" s="102">
        <f>'Passby Data Set 5'!D29</f>
        <v>78.599999999999994</v>
      </c>
      <c r="E43" s="103">
        <f>'Passby Data Set 5'!E29</f>
        <v>0.17022760764047526</v>
      </c>
      <c r="F43" s="104">
        <f t="shared" si="0"/>
        <v>72443596.007498965</v>
      </c>
      <c r="G43" s="41">
        <f t="shared" si="4"/>
        <v>24</v>
      </c>
      <c r="H43" s="102">
        <f>'Passby Data Set 3'!C47</f>
        <v>2.15</v>
      </c>
      <c r="I43" s="102">
        <f>'Passby Data Set 5'!D47</f>
        <v>82</v>
      </c>
      <c r="J43" s="103">
        <f>'Passby Data Set 5'!E47</f>
        <v>0.25178508235883346</v>
      </c>
      <c r="K43" s="104">
        <f t="shared" si="1"/>
        <v>158489319.24611136</v>
      </c>
      <c r="L43" s="41">
        <f t="shared" si="5"/>
        <v>42</v>
      </c>
      <c r="M43" s="102">
        <f>'Passby Data Set 3'!C65</f>
        <v>3.05</v>
      </c>
      <c r="N43" s="102">
        <f>'Passby Data Set 5'!D65</f>
        <v>82.8</v>
      </c>
      <c r="O43" s="103">
        <f>'Passby Data Set 5'!E65</f>
        <v>0.27607685292057682</v>
      </c>
      <c r="P43" s="104">
        <f t="shared" si="2"/>
        <v>190546071.79632449</v>
      </c>
      <c r="Q43" s="41">
        <f t="shared" si="6"/>
        <v>60</v>
      </c>
      <c r="R43" s="102">
        <f>'Passby Data Set 3'!C83</f>
        <v>3.95</v>
      </c>
      <c r="S43" s="102">
        <f>'Passby Data Set 5'!D83</f>
        <v>81.3</v>
      </c>
      <c r="T43" s="103">
        <f>'Passby Data Set 5'!E83</f>
        <v>0.23228972276806861</v>
      </c>
      <c r="U43" s="104">
        <f t="shared" si="3"/>
        <v>134896288.25916541</v>
      </c>
      <c r="V43" s="46"/>
    </row>
    <row r="44" spans="1:22">
      <c r="A44" s="46"/>
      <c r="B44" s="41">
        <f>'Passby Data Set 1'!B30</f>
        <v>7</v>
      </c>
      <c r="C44" s="199">
        <f>'Passby Data Set 3'!C30</f>
        <v>1.3</v>
      </c>
      <c r="D44" s="102">
        <f>'Passby Data Set 5'!D30</f>
        <v>79.900000000000006</v>
      </c>
      <c r="E44" s="103">
        <f>'Passby Data Set 5'!E30</f>
        <v>0.19771061893138797</v>
      </c>
      <c r="F44" s="104">
        <f t="shared" si="0"/>
        <v>97723722.095581263</v>
      </c>
      <c r="G44" s="41">
        <f t="shared" si="4"/>
        <v>25</v>
      </c>
      <c r="H44" s="102">
        <f>'Passby Data Set 3'!C48</f>
        <v>2.2000000000000002</v>
      </c>
      <c r="I44" s="102">
        <f>'Passby Data Set 5'!D48</f>
        <v>82.4</v>
      </c>
      <c r="J44" s="103">
        <f>'Passby Data Set 5'!E48</f>
        <v>0.26365134771128185</v>
      </c>
      <c r="K44" s="104">
        <f t="shared" si="1"/>
        <v>173780082.87493807</v>
      </c>
      <c r="L44" s="41">
        <f t="shared" si="5"/>
        <v>43</v>
      </c>
      <c r="M44" s="102">
        <f>'Passby Data Set 3'!C66</f>
        <v>3.1</v>
      </c>
      <c r="N44" s="102">
        <f>'Passby Data Set 5'!D66</f>
        <v>82.8</v>
      </c>
      <c r="O44" s="103">
        <f>'Passby Data Set 5'!E66</f>
        <v>0.27607685292057682</v>
      </c>
      <c r="P44" s="104">
        <f t="shared" si="2"/>
        <v>190546071.79632449</v>
      </c>
      <c r="Q44" s="41">
        <f t="shared" si="6"/>
        <v>61</v>
      </c>
      <c r="R44" s="102">
        <f>'Passby Data Set 3'!C84</f>
        <v>4</v>
      </c>
      <c r="S44" s="102">
        <f>'Passby Data Set 5'!D84</f>
        <v>80.7</v>
      </c>
      <c r="T44" s="103">
        <f>'Passby Data Set 5'!E84</f>
        <v>0.21678538280424084</v>
      </c>
      <c r="U44" s="104">
        <f t="shared" si="3"/>
        <v>117489755.49395308</v>
      </c>
      <c r="V44" s="46"/>
    </row>
    <row r="45" spans="1:22">
      <c r="A45" s="46"/>
      <c r="B45" s="41">
        <f>'Passby Data Set 1'!B31</f>
        <v>8</v>
      </c>
      <c r="C45" s="199">
        <f>'Passby Data Set 3'!C31</f>
        <v>1.35</v>
      </c>
      <c r="D45" s="102">
        <f>'Passby Data Set 5'!D31</f>
        <v>80.7</v>
      </c>
      <c r="E45" s="103">
        <f>'Passby Data Set 5'!E31</f>
        <v>0.21678538280424084</v>
      </c>
      <c r="F45" s="104">
        <f t="shared" si="0"/>
        <v>117489755.49395308</v>
      </c>
      <c r="G45" s="41">
        <f t="shared" si="4"/>
        <v>26</v>
      </c>
      <c r="H45" s="102">
        <f>'Passby Data Set 3'!C49</f>
        <v>2.25</v>
      </c>
      <c r="I45" s="102">
        <f>'Passby Data Set 5'!D49</f>
        <v>82.4</v>
      </c>
      <c r="J45" s="103">
        <f>'Passby Data Set 5'!E49</f>
        <v>0.26365134771128185</v>
      </c>
      <c r="K45" s="104">
        <f t="shared" si="1"/>
        <v>173780082.87493807</v>
      </c>
      <c r="L45" s="41">
        <f t="shared" si="5"/>
        <v>44</v>
      </c>
      <c r="M45" s="102">
        <f>'Passby Data Set 3'!C67</f>
        <v>3.15</v>
      </c>
      <c r="N45" s="102">
        <f>'Passby Data Set 5'!D67</f>
        <v>82.8</v>
      </c>
      <c r="O45" s="103">
        <f>'Passby Data Set 5'!E67</f>
        <v>0.27607685292057682</v>
      </c>
      <c r="P45" s="104">
        <f t="shared" si="2"/>
        <v>190546071.79632449</v>
      </c>
      <c r="Q45" s="41">
        <f t="shared" si="6"/>
        <v>62</v>
      </c>
      <c r="R45" s="102">
        <f>'Passby Data Set 3'!C85</f>
        <v>4.05</v>
      </c>
      <c r="S45" s="102">
        <f>'Passby Data Set 5'!D85</f>
        <v>79.400000000000006</v>
      </c>
      <c r="T45" s="103">
        <f>'Passby Data Set 5'!E85</f>
        <v>0.18665086015939844</v>
      </c>
      <c r="U45" s="104">
        <f t="shared" si="3"/>
        <v>87096358.995608255</v>
      </c>
      <c r="V45" s="46"/>
    </row>
    <row r="46" spans="1:22">
      <c r="A46" s="46"/>
      <c r="B46" s="41">
        <f>'Passby Data Set 1'!B32</f>
        <v>9</v>
      </c>
      <c r="C46" s="199">
        <f>'Passby Data Set 3'!C32</f>
        <v>1.4</v>
      </c>
      <c r="D46" s="102">
        <f>'Passby Data Set 5'!D32</f>
        <v>81.2</v>
      </c>
      <c r="E46" s="103">
        <f>'Passby Data Set 5'!E32</f>
        <v>0.22963072429937706</v>
      </c>
      <c r="F46" s="104">
        <f t="shared" si="0"/>
        <v>131825673.85564128</v>
      </c>
      <c r="G46" s="41">
        <f t="shared" si="4"/>
        <v>27</v>
      </c>
      <c r="H46" s="102">
        <f>'Passby Data Set 3'!C50</f>
        <v>2.2999999999999998</v>
      </c>
      <c r="I46" s="102">
        <f>'Passby Data Set 5'!D50</f>
        <v>82.8</v>
      </c>
      <c r="J46" s="103">
        <f>'Passby Data Set 5'!E50</f>
        <v>0.27607685292057682</v>
      </c>
      <c r="K46" s="104">
        <f t="shared" si="1"/>
        <v>190546071.79632449</v>
      </c>
      <c r="L46" s="41">
        <f t="shared" si="5"/>
        <v>45</v>
      </c>
      <c r="M46" s="102">
        <f>'Passby Data Set 3'!C68</f>
        <v>3.2</v>
      </c>
      <c r="N46" s="102">
        <f>'Passby Data Set 5'!D68</f>
        <v>82.9</v>
      </c>
      <c r="O46" s="103">
        <f>'Passby Data Set 5'!E68</f>
        <v>0.27927367221118787</v>
      </c>
      <c r="P46" s="104">
        <f t="shared" si="2"/>
        <v>194984459.97580501</v>
      </c>
      <c r="Q46" s="41">
        <f t="shared" si="6"/>
        <v>63</v>
      </c>
      <c r="R46" s="102">
        <f>'Passby Data Set 3'!C86</f>
        <v>4.0999999999999996</v>
      </c>
      <c r="S46" s="102">
        <f>'Passby Data Set 5'!D86</f>
        <v>78.400000000000006</v>
      </c>
      <c r="T46" s="103">
        <f>'Passby Data Set 5'!E86</f>
        <v>0.1663527542205345</v>
      </c>
      <c r="U46" s="104">
        <f t="shared" si="3"/>
        <v>69183097.091893882</v>
      </c>
      <c r="V46" s="46"/>
    </row>
    <row r="47" spans="1:22">
      <c r="A47" s="46"/>
      <c r="B47" s="41">
        <f>'Passby Data Set 1'!B33</f>
        <v>10</v>
      </c>
      <c r="C47" s="199">
        <f>'Passby Data Set 3'!C33</f>
        <v>1.45</v>
      </c>
      <c r="D47" s="102">
        <f>'Passby Data Set 5'!D33</f>
        <v>81.3</v>
      </c>
      <c r="E47" s="103">
        <f>'Passby Data Set 5'!E33</f>
        <v>0.23228972276806861</v>
      </c>
      <c r="F47" s="104">
        <f t="shared" si="0"/>
        <v>134896288.25916541</v>
      </c>
      <c r="G47" s="41">
        <f t="shared" si="4"/>
        <v>28</v>
      </c>
      <c r="H47" s="102">
        <f>'Passby Data Set 3'!C51</f>
        <v>2.35</v>
      </c>
      <c r="I47" s="102">
        <f>'Passby Data Set 5'!D51</f>
        <v>83.1</v>
      </c>
      <c r="J47" s="103">
        <f>'Passby Data Set 5'!E51</f>
        <v>0.28577879170222042</v>
      </c>
      <c r="K47" s="104">
        <f t="shared" si="1"/>
        <v>204173794.46695271</v>
      </c>
      <c r="L47" s="41">
        <f t="shared" si="5"/>
        <v>46</v>
      </c>
      <c r="M47" s="102">
        <f>'Passby Data Set 3'!C69</f>
        <v>3.25</v>
      </c>
      <c r="N47" s="102">
        <f>'Passby Data Set 5'!D69</f>
        <v>83</v>
      </c>
      <c r="O47" s="103">
        <f>'Passby Data Set 5'!E69</f>
        <v>0.28250750892455123</v>
      </c>
      <c r="P47" s="104">
        <f t="shared" si="2"/>
        <v>199526231.49688843</v>
      </c>
      <c r="Q47" s="41">
        <f t="shared" si="6"/>
        <v>64</v>
      </c>
      <c r="R47" s="102">
        <f>'Passby Data Set 3'!C87</f>
        <v>4.1500000000000004</v>
      </c>
      <c r="S47" s="102">
        <f>'Passby Data Set 5'!D87</f>
        <v>77.599999999999994</v>
      </c>
      <c r="T47" s="103">
        <f>'Passby Data Set 5'!E87</f>
        <v>0.1517155150058368</v>
      </c>
      <c r="U47" s="104">
        <f t="shared" si="3"/>
        <v>57543993.73371572</v>
      </c>
      <c r="V47" s="46"/>
    </row>
    <row r="48" spans="1:22">
      <c r="A48" s="46"/>
      <c r="B48" s="41">
        <f>'Passby Data Set 1'!B34</f>
        <v>11</v>
      </c>
      <c r="C48" s="199">
        <f>'Passby Data Set 3'!C34</f>
        <v>1.5</v>
      </c>
      <c r="D48" s="102">
        <f>'Passby Data Set 5'!D34</f>
        <v>81.7</v>
      </c>
      <c r="E48" s="103">
        <f>'Passby Data Set 5'!E34</f>
        <v>0.24323720012927363</v>
      </c>
      <c r="F48" s="104">
        <f t="shared" si="0"/>
        <v>147910838.81682077</v>
      </c>
      <c r="G48" s="41">
        <f t="shared" si="4"/>
        <v>29</v>
      </c>
      <c r="H48" s="102">
        <f>'Passby Data Set 3'!C52</f>
        <v>2.4</v>
      </c>
      <c r="I48" s="102">
        <f>'Passby Data Set 5'!D52</f>
        <v>82.9</v>
      </c>
      <c r="J48" s="103">
        <f>'Passby Data Set 5'!E52</f>
        <v>0.27927367221118787</v>
      </c>
      <c r="K48" s="104">
        <f t="shared" si="1"/>
        <v>194984459.97580501</v>
      </c>
      <c r="L48" s="41">
        <f t="shared" si="5"/>
        <v>47</v>
      </c>
      <c r="M48" s="102">
        <f>'Passby Data Set 3'!C70</f>
        <v>3.3</v>
      </c>
      <c r="N48" s="102">
        <f>'Passby Data Set 5'!D70</f>
        <v>83</v>
      </c>
      <c r="O48" s="103">
        <f>'Passby Data Set 5'!E70</f>
        <v>0.28250750892455123</v>
      </c>
      <c r="P48" s="104">
        <f t="shared" si="2"/>
        <v>199526231.49688843</v>
      </c>
      <c r="Q48" s="41">
        <f t="shared" si="6"/>
        <v>65</v>
      </c>
      <c r="R48" s="102">
        <f>'Passby Data Set 3'!C88</f>
        <v>4.2</v>
      </c>
      <c r="S48" s="102">
        <f>'Passby Data Set 5'!D88</f>
        <v>77.099999999999994</v>
      </c>
      <c r="T48" s="103">
        <f>'Passby Data Set 5'!E88</f>
        <v>0.14322868204258049</v>
      </c>
      <c r="U48" s="104">
        <f t="shared" si="3"/>
        <v>51286138.399136543</v>
      </c>
      <c r="V48" s="46"/>
    </row>
    <row r="49" spans="1:23">
      <c r="A49" s="46"/>
      <c r="B49" s="41">
        <f>'Passby Data Set 1'!B35</f>
        <v>12</v>
      </c>
      <c r="C49" s="199">
        <f>'Passby Data Set 3'!C35</f>
        <v>1.55</v>
      </c>
      <c r="D49" s="102">
        <f>'Passby Data Set 5'!D35</f>
        <v>82</v>
      </c>
      <c r="E49" s="103">
        <f>'Passby Data Set 5'!E35</f>
        <v>0.25178508235883346</v>
      </c>
      <c r="F49" s="104">
        <f t="shared" si="0"/>
        <v>158489319.24611136</v>
      </c>
      <c r="G49" s="41">
        <f t="shared" si="4"/>
        <v>30</v>
      </c>
      <c r="H49" s="102">
        <f>'Passby Data Set 3'!C53</f>
        <v>2.4500000000000002</v>
      </c>
      <c r="I49" s="102">
        <f>'Passby Data Set 5'!D53</f>
        <v>82.9</v>
      </c>
      <c r="J49" s="103">
        <f>'Passby Data Set 5'!E53</f>
        <v>0.27927367221118787</v>
      </c>
      <c r="K49" s="104">
        <f t="shared" si="1"/>
        <v>194984459.97580501</v>
      </c>
      <c r="L49" s="41">
        <f t="shared" si="5"/>
        <v>48</v>
      </c>
      <c r="M49" s="102">
        <f>'Passby Data Set 3'!C71</f>
        <v>3.35</v>
      </c>
      <c r="N49" s="102">
        <f>'Passby Data Set 5'!D71</f>
        <v>82.8</v>
      </c>
      <c r="O49" s="103">
        <f>'Passby Data Set 5'!E71</f>
        <v>0.27607685292057682</v>
      </c>
      <c r="P49" s="104">
        <f t="shared" si="2"/>
        <v>190546071.79632449</v>
      </c>
      <c r="Q49" s="41">
        <f t="shared" si="6"/>
        <v>66</v>
      </c>
      <c r="R49" s="102">
        <f>'Passby Data Set 3'!C89</f>
        <v>4.25</v>
      </c>
      <c r="S49" s="102">
        <f>'Passby Data Set 5'!D89</f>
        <v>77.099999999999994</v>
      </c>
      <c r="T49" s="103">
        <f>'Passby Data Set 5'!E89</f>
        <v>0.14322868204258049</v>
      </c>
      <c r="U49" s="104">
        <f t="shared" si="3"/>
        <v>51286138.399136543</v>
      </c>
      <c r="V49" s="46"/>
    </row>
    <row r="50" spans="1:23">
      <c r="A50" s="46"/>
      <c r="B50" s="41">
        <f>'Passby Data Set 1'!B36</f>
        <v>13</v>
      </c>
      <c r="C50" s="199">
        <f>'Passby Data Set 3'!C36</f>
        <v>1.6</v>
      </c>
      <c r="D50" s="102">
        <f>'Passby Data Set 5'!D36</f>
        <v>82.2</v>
      </c>
      <c r="E50" s="103">
        <f>'Passby Data Set 5'!E36</f>
        <v>0.25764991033862722</v>
      </c>
      <c r="F50" s="104">
        <f t="shared" si="0"/>
        <v>165958690.74375659</v>
      </c>
      <c r="G50" s="41">
        <f t="shared" si="4"/>
        <v>31</v>
      </c>
      <c r="H50" s="102">
        <f>'Passby Data Set 3'!C54</f>
        <v>2.5</v>
      </c>
      <c r="I50" s="102">
        <f>'Passby Data Set 5'!D54</f>
        <v>83</v>
      </c>
      <c r="J50" s="103">
        <f>'Passby Data Set 5'!E54</f>
        <v>0.28250750892455123</v>
      </c>
      <c r="K50" s="104">
        <f t="shared" si="1"/>
        <v>199526231.49688843</v>
      </c>
      <c r="L50" s="41">
        <f t="shared" si="5"/>
        <v>49</v>
      </c>
      <c r="M50" s="102">
        <f>'Passby Data Set 3'!C72</f>
        <v>3.4</v>
      </c>
      <c r="N50" s="102">
        <f>'Passby Data Set 5'!D72</f>
        <v>82.8</v>
      </c>
      <c r="O50" s="103">
        <f>'Passby Data Set 5'!E72</f>
        <v>0.27607685292057682</v>
      </c>
      <c r="P50" s="104">
        <f t="shared" si="2"/>
        <v>190546071.79632449</v>
      </c>
      <c r="Q50" s="41">
        <f t="shared" si="6"/>
        <v>67</v>
      </c>
      <c r="R50" s="102">
        <f>'Passby Data Set 3'!C90</f>
        <v>4.3</v>
      </c>
      <c r="S50" s="102">
        <f>'Passby Data Set 5'!D90</f>
        <v>76.099999999999994</v>
      </c>
      <c r="T50" s="103">
        <f>'Passby Data Set 5'!E90</f>
        <v>0.12765269723810987</v>
      </c>
      <c r="U50" s="104">
        <f t="shared" si="3"/>
        <v>40738027.780411355</v>
      </c>
      <c r="V50" s="46"/>
    </row>
    <row r="51" spans="1:23">
      <c r="A51" s="46"/>
      <c r="B51" s="41">
        <f>'Passby Data Set 1'!B37</f>
        <v>14</v>
      </c>
      <c r="C51" s="199">
        <f>'Passby Data Set 3'!C37</f>
        <v>1.65</v>
      </c>
      <c r="D51" s="102">
        <f>'Passby Data Set 5'!D37</f>
        <v>82.3</v>
      </c>
      <c r="E51" s="103">
        <f>'Passby Data Set 5'!E37</f>
        <v>0.26063335569046031</v>
      </c>
      <c r="F51" s="104">
        <f t="shared" si="0"/>
        <v>169824365.24617496</v>
      </c>
      <c r="G51" s="41">
        <f t="shared" si="4"/>
        <v>32</v>
      </c>
      <c r="H51" s="102">
        <f>'Passby Data Set 3'!C55</f>
        <v>2.5499999999999998</v>
      </c>
      <c r="I51" s="102">
        <f>'Passby Data Set 5'!D55</f>
        <v>82.8</v>
      </c>
      <c r="J51" s="103">
        <f>'Passby Data Set 5'!E55</f>
        <v>0.27607685292057682</v>
      </c>
      <c r="K51" s="104">
        <f t="shared" si="1"/>
        <v>190546071.79632449</v>
      </c>
      <c r="L51" s="41">
        <f t="shared" si="5"/>
        <v>50</v>
      </c>
      <c r="M51" s="102">
        <f>'Passby Data Set 3'!C73</f>
        <v>3.45</v>
      </c>
      <c r="N51" s="102">
        <f>'Passby Data Set 5'!D73</f>
        <v>83.2</v>
      </c>
      <c r="O51" s="103">
        <f>'Passby Data Set 5'!E73</f>
        <v>0.28908795414918587</v>
      </c>
      <c r="P51" s="104">
        <f t="shared" si="2"/>
        <v>208929613.08540446</v>
      </c>
      <c r="Q51" s="41">
        <f t="shared" si="6"/>
        <v>68</v>
      </c>
      <c r="R51" s="102">
        <f>'Passby Data Set 3'!C91</f>
        <v>4.3499999999999996</v>
      </c>
      <c r="S51" s="102">
        <f>'Passby Data Set 5'!D91</f>
        <v>75.400000000000006</v>
      </c>
      <c r="T51" s="103">
        <f>'Passby Data Set 5'!E91</f>
        <v>0.11776873107111796</v>
      </c>
      <c r="U51" s="104">
        <f t="shared" si="3"/>
        <v>34673685.045253254</v>
      </c>
      <c r="V51" s="46"/>
    </row>
    <row r="52" spans="1:23">
      <c r="A52" s="46"/>
      <c r="B52" s="41">
        <f>'Passby Data Set 1'!B38</f>
        <v>15</v>
      </c>
      <c r="C52" s="199">
        <f>'Passby Data Set 3'!C38</f>
        <v>1.7</v>
      </c>
      <c r="D52" s="102">
        <f>'Passby Data Set 5'!D38</f>
        <v>82.3</v>
      </c>
      <c r="E52" s="103">
        <f>'Passby Data Set 5'!E38</f>
        <v>0.26063335569046031</v>
      </c>
      <c r="F52" s="104">
        <f t="shared" si="0"/>
        <v>169824365.24617496</v>
      </c>
      <c r="G52" s="41">
        <f t="shared" si="4"/>
        <v>33</v>
      </c>
      <c r="H52" s="102">
        <f>'Passby Data Set 3'!C56</f>
        <v>2.6</v>
      </c>
      <c r="I52" s="102">
        <f>'Passby Data Set 5'!D56</f>
        <v>82.7</v>
      </c>
      <c r="J52" s="103">
        <f>'Passby Data Set 5'!E56</f>
        <v>0.27291662731778482</v>
      </c>
      <c r="K52" s="104">
        <f t="shared" si="1"/>
        <v>186208713.66628659</v>
      </c>
      <c r="L52" s="41">
        <f t="shared" si="5"/>
        <v>51</v>
      </c>
      <c r="M52" s="102">
        <f>'Passby Data Set 3'!C74</f>
        <v>3.5</v>
      </c>
      <c r="N52" s="102">
        <f>'Passby Data Set 5'!D74</f>
        <v>83.1</v>
      </c>
      <c r="O52" s="103">
        <f>'Passby Data Set 5'!E74</f>
        <v>0.28577879170222042</v>
      </c>
      <c r="P52" s="104">
        <f t="shared" si="2"/>
        <v>204173794.46695271</v>
      </c>
      <c r="Q52" s="41">
        <f t="shared" si="6"/>
        <v>69</v>
      </c>
      <c r="R52" s="102">
        <f>'Passby Data Set 3'!C92</f>
        <v>4.4000000000000004</v>
      </c>
      <c r="S52" s="102">
        <f>'Passby Data Set 5'!D92</f>
        <v>74.900000000000006</v>
      </c>
      <c r="T52" s="103">
        <f>'Passby Data Set 5'!E92</f>
        <v>0.11118085145408091</v>
      </c>
      <c r="U52" s="104">
        <f t="shared" si="3"/>
        <v>30902954.325136006</v>
      </c>
      <c r="V52" s="46"/>
    </row>
    <row r="53" spans="1:23">
      <c r="A53" s="46"/>
      <c r="B53" s="41">
        <f>B52+1</f>
        <v>16</v>
      </c>
      <c r="C53" s="199">
        <f>'Passby Data Set 3'!C39</f>
        <v>1.75</v>
      </c>
      <c r="D53" s="102">
        <f>'Passby Data Set 5'!D39</f>
        <v>82.1</v>
      </c>
      <c r="E53" s="103">
        <f>'Passby Data Set 5'!E39</f>
        <v>0.25470061620333234</v>
      </c>
      <c r="F53" s="104">
        <f t="shared" si="0"/>
        <v>162181009.73589295</v>
      </c>
      <c r="G53" s="41">
        <f t="shared" si="4"/>
        <v>34</v>
      </c>
      <c r="H53" s="102">
        <f>'Passby Data Set 3'!C57</f>
        <v>2.65</v>
      </c>
      <c r="I53" s="102">
        <f>'Passby Data Set 5'!D57</f>
        <v>82.6</v>
      </c>
      <c r="J53" s="103">
        <f>'Passby Data Set 5'!E57</f>
        <v>0.26979257651833116</v>
      </c>
      <c r="K53" s="104">
        <f t="shared" si="1"/>
        <v>181970085.86099893</v>
      </c>
      <c r="L53" s="41">
        <f t="shared" si="5"/>
        <v>52</v>
      </c>
      <c r="M53" s="102">
        <f>'Passby Data Set 3'!C75</f>
        <v>3.55</v>
      </c>
      <c r="N53" s="102">
        <f>'Passby Data Set 5'!D75</f>
        <v>82.5</v>
      </c>
      <c r="O53" s="103">
        <f>'Passby Data Set 5'!E75</f>
        <v>0.26670428643266519</v>
      </c>
      <c r="P53" s="104">
        <f t="shared" si="2"/>
        <v>177827941.00389278</v>
      </c>
      <c r="Q53" s="41">
        <f t="shared" si="6"/>
        <v>70</v>
      </c>
      <c r="R53" s="102">
        <f>'Passby Data Set 3'!C93</f>
        <v>4.45</v>
      </c>
      <c r="S53" s="102">
        <f>'Passby Data Set 5'!D93</f>
        <v>73.8</v>
      </c>
      <c r="T53" s="103">
        <f>'Passby Data Set 5'!E93</f>
        <v>9.7955763873689275E-2</v>
      </c>
      <c r="U53" s="104">
        <f t="shared" si="3"/>
        <v>23988329.190194916</v>
      </c>
      <c r="V53" s="46"/>
    </row>
    <row r="54" spans="1:23">
      <c r="A54" s="46"/>
      <c r="B54" s="41">
        <f t="shared" ref="B54:B55" si="7">B53+1</f>
        <v>17</v>
      </c>
      <c r="C54" s="199">
        <f>'Passby Data Set 3'!C40</f>
        <v>1.8</v>
      </c>
      <c r="D54" s="102">
        <f>'Passby Data Set 5'!D40</f>
        <v>82.7</v>
      </c>
      <c r="E54" s="103">
        <f>'Passby Data Set 5'!E40</f>
        <v>0.27291662731778482</v>
      </c>
      <c r="F54" s="104">
        <f t="shared" si="0"/>
        <v>186208713.66628659</v>
      </c>
      <c r="G54" s="41">
        <f t="shared" si="4"/>
        <v>35</v>
      </c>
      <c r="H54" s="102">
        <f>'Passby Data Set 3'!C58</f>
        <v>2.7</v>
      </c>
      <c r="I54" s="102">
        <f>'Passby Data Set 5'!D58</f>
        <v>82.9</v>
      </c>
      <c r="J54" s="103">
        <f>'Passby Data Set 5'!E58</f>
        <v>0.27927367221118787</v>
      </c>
      <c r="K54" s="104">
        <f t="shared" si="1"/>
        <v>194984459.97580501</v>
      </c>
      <c r="L54" s="41">
        <f t="shared" si="5"/>
        <v>53</v>
      </c>
      <c r="M54" s="102">
        <f>'Passby Data Set 3'!C76</f>
        <v>3.6</v>
      </c>
      <c r="N54" s="102">
        <f>'Passby Data Set 5'!D76</f>
        <v>82.3</v>
      </c>
      <c r="O54" s="103">
        <f>'Passby Data Set 5'!E76</f>
        <v>0.26063335569046031</v>
      </c>
      <c r="P54" s="104">
        <f t="shared" si="2"/>
        <v>169824365.24617496</v>
      </c>
      <c r="Q54" s="41">
        <f t="shared" si="6"/>
        <v>71</v>
      </c>
      <c r="R54" s="102">
        <f>'Passby Data Set 3'!C94</f>
        <v>4.5</v>
      </c>
      <c r="S54" s="102">
        <f>'Passby Data Set 5'!D94</f>
        <v>73.2</v>
      </c>
      <c r="T54" s="103">
        <f>'Passby Data Set 5'!E94</f>
        <v>9.1417637922975067E-2</v>
      </c>
      <c r="U54" s="104">
        <f t="shared" si="3"/>
        <v>20892961.308540422</v>
      </c>
      <c r="V54" s="46"/>
    </row>
    <row r="55" spans="1:23">
      <c r="A55" s="46"/>
      <c r="B55" s="41">
        <f t="shared" si="7"/>
        <v>18</v>
      </c>
      <c r="C55" s="199">
        <f>'Passby Data Set 3'!C41</f>
        <v>1.85</v>
      </c>
      <c r="D55" s="102">
        <f>'Passby Data Set 5'!D41</f>
        <v>82.8</v>
      </c>
      <c r="E55" s="103">
        <f>'Passby Data Set 5'!E41</f>
        <v>0.27607685292057682</v>
      </c>
      <c r="F55" s="104">
        <f t="shared" si="0"/>
        <v>190546071.79632449</v>
      </c>
      <c r="G55" s="41">
        <f t="shared" si="4"/>
        <v>36</v>
      </c>
      <c r="H55" s="102">
        <f>'Passby Data Set 3'!C59</f>
        <v>2.75</v>
      </c>
      <c r="I55" s="102">
        <f>'Passby Data Set 5'!D59</f>
        <v>82.9</v>
      </c>
      <c r="J55" s="103">
        <f>'Passby Data Set 5'!E59</f>
        <v>0.27927367221118787</v>
      </c>
      <c r="K55" s="104">
        <f t="shared" si="1"/>
        <v>194984459.97580501</v>
      </c>
      <c r="L55" s="41">
        <f t="shared" si="5"/>
        <v>54</v>
      </c>
      <c r="M55" s="102">
        <f>'Passby Data Set 3'!C77</f>
        <v>3.65</v>
      </c>
      <c r="N55" s="102">
        <f>'Passby Data Set 5'!D77</f>
        <v>82.6</v>
      </c>
      <c r="O55" s="103">
        <f>'Passby Data Set 5'!E77</f>
        <v>0.26979257651833116</v>
      </c>
      <c r="P55" s="104">
        <f t="shared" si="2"/>
        <v>181970085.86099893</v>
      </c>
      <c r="Q55" s="669"/>
      <c r="R55" s="671"/>
      <c r="S55" s="671"/>
      <c r="T55" s="671"/>
      <c r="U55" s="670"/>
      <c r="V55" s="46"/>
    </row>
    <row r="56" spans="1:23">
      <c r="A56" s="46"/>
      <c r="B56" s="114"/>
      <c r="C56" s="115"/>
      <c r="D56" s="115"/>
      <c r="E56" s="115"/>
      <c r="F56" s="8"/>
      <c r="G56" s="8"/>
      <c r="H56" s="8"/>
      <c r="I56" s="8"/>
      <c r="J56" s="8"/>
      <c r="K56" s="8"/>
      <c r="L56" s="8"/>
      <c r="M56" s="8"/>
      <c r="N56" s="8"/>
      <c r="O56" s="8"/>
      <c r="P56" s="8"/>
      <c r="Q56" s="8"/>
      <c r="R56" s="8"/>
      <c r="S56" s="8"/>
      <c r="T56" s="8"/>
      <c r="U56" s="9"/>
      <c r="V56" s="46"/>
    </row>
    <row r="57" spans="1:23" ht="15" customHeight="1">
      <c r="A57" s="46"/>
      <c r="B57" s="116" t="s">
        <v>234</v>
      </c>
      <c r="C57" s="117"/>
      <c r="D57" s="76"/>
      <c r="E57" s="85"/>
      <c r="F57" s="11"/>
      <c r="G57" s="11"/>
      <c r="H57" s="11"/>
      <c r="I57" s="15">
        <v>8</v>
      </c>
      <c r="J57" s="15" t="s">
        <v>238</v>
      </c>
      <c r="K57" s="11"/>
      <c r="L57" s="11"/>
      <c r="M57" s="11"/>
      <c r="N57" s="11"/>
      <c r="O57" s="11"/>
      <c r="P57" s="11"/>
      <c r="Q57" s="11"/>
      <c r="R57" s="11"/>
      <c r="S57" s="11"/>
      <c r="T57" s="11"/>
      <c r="U57" s="12"/>
      <c r="V57" s="46"/>
    </row>
    <row r="58" spans="1:23" ht="15" customHeight="1">
      <c r="A58" s="46"/>
      <c r="B58" s="116" t="s">
        <v>235</v>
      </c>
      <c r="C58" s="66"/>
      <c r="D58" s="76"/>
      <c r="E58" s="85"/>
      <c r="F58" s="11"/>
      <c r="G58" s="11"/>
      <c r="H58" s="11"/>
      <c r="I58" s="15">
        <v>60</v>
      </c>
      <c r="J58" s="15" t="s">
        <v>239</v>
      </c>
      <c r="K58" s="11" t="s">
        <v>240</v>
      </c>
      <c r="L58" s="11"/>
      <c r="M58" s="11"/>
      <c r="N58" s="118">
        <f>(SUM(F45:F55)+SUM(K38:K55)+SUM(P38:P55)+SUM(T38:T43))*$P$32</f>
        <v>429113941.17742991</v>
      </c>
      <c r="O58" s="11"/>
      <c r="P58" s="11"/>
      <c r="Q58" s="11"/>
      <c r="R58" s="11"/>
      <c r="S58" s="11"/>
      <c r="T58" s="11"/>
      <c r="U58" s="12"/>
      <c r="V58" s="46"/>
    </row>
    <row r="59" spans="1:23" ht="15" customHeight="1">
      <c r="A59" s="46"/>
      <c r="B59" s="116"/>
      <c r="C59" s="66"/>
      <c r="D59" s="76"/>
      <c r="E59" s="85"/>
      <c r="F59" s="11"/>
      <c r="G59" s="11"/>
      <c r="H59" s="11"/>
      <c r="I59" s="15"/>
      <c r="J59" s="15"/>
      <c r="K59" s="11"/>
      <c r="L59" s="11"/>
      <c r="M59" s="11"/>
      <c r="N59" s="118"/>
      <c r="O59" s="11"/>
      <c r="P59" s="11"/>
      <c r="Q59" s="11"/>
      <c r="R59" s="11"/>
      <c r="S59" s="11"/>
      <c r="T59" s="11"/>
      <c r="U59" s="12"/>
      <c r="V59" s="46"/>
    </row>
    <row r="60" spans="1:23">
      <c r="A60" s="46"/>
      <c r="B60" s="116"/>
      <c r="C60" s="66"/>
      <c r="D60" s="76"/>
      <c r="E60" s="85"/>
      <c r="F60" s="11"/>
      <c r="G60" s="11"/>
      <c r="H60" s="11"/>
      <c r="I60" s="11"/>
      <c r="J60" s="11"/>
      <c r="K60" s="11"/>
      <c r="L60" s="11"/>
      <c r="M60" s="11"/>
      <c r="N60" s="11"/>
      <c r="O60" s="11"/>
      <c r="P60" s="11"/>
      <c r="Q60" s="11"/>
      <c r="R60" s="11"/>
      <c r="S60" s="11"/>
      <c r="T60" s="11"/>
      <c r="U60" s="12"/>
      <c r="V60" s="46"/>
    </row>
    <row r="61" spans="1:23" ht="16.5">
      <c r="A61" s="46"/>
      <c r="B61" s="116" t="s">
        <v>241</v>
      </c>
      <c r="C61" s="66"/>
      <c r="D61" s="76"/>
      <c r="E61" s="85"/>
      <c r="F61" s="158" t="s">
        <v>291</v>
      </c>
      <c r="G61" s="147">
        <f>10*LOG10((1/D15)*N58)</f>
        <v>82.082094186893414</v>
      </c>
      <c r="H61" s="113" t="s">
        <v>28</v>
      </c>
      <c r="I61" s="11"/>
      <c r="J61" s="11"/>
      <c r="K61" s="11"/>
      <c r="L61" s="11"/>
      <c r="M61" s="11"/>
      <c r="N61" s="11"/>
      <c r="O61" s="11"/>
      <c r="P61" s="11"/>
      <c r="Q61" s="11"/>
      <c r="R61" s="11"/>
      <c r="S61" s="11"/>
      <c r="T61" s="11"/>
      <c r="U61" s="12"/>
      <c r="V61" s="46"/>
    </row>
    <row r="62" spans="1:23">
      <c r="A62" s="46"/>
      <c r="B62" s="116"/>
      <c r="C62" s="66"/>
      <c r="D62" s="66"/>
      <c r="E62" s="85"/>
      <c r="F62" s="11"/>
      <c r="G62" s="11"/>
      <c r="H62" s="11"/>
      <c r="I62" s="11"/>
      <c r="J62" s="11"/>
      <c r="K62" s="11"/>
      <c r="L62" s="11"/>
      <c r="M62" s="11"/>
      <c r="N62" s="11"/>
      <c r="O62" s="11"/>
      <c r="P62" s="11"/>
      <c r="Q62" s="11"/>
      <c r="R62" s="11"/>
      <c r="S62" s="11"/>
      <c r="T62" s="11"/>
      <c r="U62" s="12"/>
      <c r="V62" s="46"/>
    </row>
    <row r="63" spans="1:23">
      <c r="A63" s="46"/>
      <c r="B63" s="119"/>
      <c r="C63" s="120"/>
      <c r="D63" s="121"/>
      <c r="E63" s="122"/>
      <c r="F63" s="18"/>
      <c r="G63" s="18"/>
      <c r="H63" s="18"/>
      <c r="I63" s="18"/>
      <c r="J63" s="18"/>
      <c r="K63" s="18"/>
      <c r="L63" s="18"/>
      <c r="M63" s="18"/>
      <c r="N63" s="18"/>
      <c r="O63" s="18"/>
      <c r="P63" s="18"/>
      <c r="Q63" s="18"/>
      <c r="R63" s="18"/>
      <c r="S63" s="18"/>
      <c r="T63" s="18"/>
      <c r="U63" s="19"/>
      <c r="V63" s="46"/>
    </row>
    <row r="64" spans="1:23">
      <c r="A64" s="46"/>
      <c r="B64" s="79"/>
      <c r="C64" s="82"/>
      <c r="D64" s="82"/>
      <c r="E64" s="85"/>
      <c r="F64" s="11"/>
      <c r="G64" s="46"/>
      <c r="H64" s="46"/>
      <c r="I64" s="46"/>
      <c r="J64" s="46"/>
      <c r="K64" s="46"/>
      <c r="L64" s="46"/>
      <c r="M64" s="46"/>
      <c r="N64" s="46"/>
      <c r="O64" s="46"/>
      <c r="P64" s="46"/>
      <c r="Q64" s="46"/>
      <c r="R64" s="46"/>
      <c r="S64" s="46"/>
      <c r="T64" s="46"/>
      <c r="U64" s="46"/>
      <c r="V64" s="46"/>
      <c r="W64" s="46"/>
    </row>
    <row r="65" spans="1:22">
      <c r="A65" s="46"/>
      <c r="B65" s="132" t="s">
        <v>255</v>
      </c>
      <c r="C65" s="133"/>
      <c r="D65" s="133"/>
      <c r="E65" s="134"/>
      <c r="F65" s="8"/>
      <c r="G65" s="8"/>
      <c r="H65" s="8"/>
      <c r="I65" s="8"/>
      <c r="J65" s="8"/>
      <c r="K65" s="8"/>
      <c r="L65" s="8"/>
      <c r="M65" s="8"/>
      <c r="N65" s="8"/>
      <c r="O65" s="8"/>
      <c r="P65" s="8" t="s">
        <v>452</v>
      </c>
      <c r="Q65" s="8"/>
      <c r="R65" s="8"/>
      <c r="S65" s="8"/>
      <c r="T65" s="8"/>
      <c r="U65" s="9"/>
      <c r="V65" s="46"/>
    </row>
    <row r="66" spans="1:22" ht="42" customHeight="1">
      <c r="A66" s="46"/>
      <c r="B66" s="116"/>
      <c r="C66" s="66"/>
      <c r="D66" s="66"/>
      <c r="E66" s="495" t="s">
        <v>40</v>
      </c>
      <c r="F66" s="495" t="s">
        <v>41</v>
      </c>
      <c r="G66" s="495" t="s">
        <v>256</v>
      </c>
      <c r="H66" s="620" t="s">
        <v>267</v>
      </c>
      <c r="I66" s="501"/>
      <c r="J66" s="454"/>
      <c r="K66" s="455"/>
      <c r="L66" s="545" t="s">
        <v>264</v>
      </c>
      <c r="M66" s="504"/>
      <c r="N66" s="506"/>
      <c r="O66" s="11"/>
      <c r="P66" s="73" t="s">
        <v>716</v>
      </c>
      <c r="Q66" s="46"/>
      <c r="R66" s="46"/>
      <c r="S66" s="46"/>
      <c r="T66" s="46"/>
      <c r="U66" s="12"/>
      <c r="V66" s="46"/>
    </row>
    <row r="67" spans="1:22" ht="20.149999999999999" customHeight="1">
      <c r="A67" s="46"/>
      <c r="B67" s="116"/>
      <c r="C67" s="135"/>
      <c r="D67" s="66"/>
      <c r="E67" s="471"/>
      <c r="F67" s="471"/>
      <c r="G67" s="471"/>
      <c r="H67" s="167" t="s">
        <v>257</v>
      </c>
      <c r="I67" s="167" t="s">
        <v>258</v>
      </c>
      <c r="J67" s="167" t="s">
        <v>259</v>
      </c>
      <c r="K67" s="605" t="s">
        <v>260</v>
      </c>
      <c r="L67" s="429"/>
      <c r="M67" s="503"/>
      <c r="N67" s="430"/>
      <c r="O67" s="11"/>
      <c r="P67" s="73" t="s">
        <v>717</v>
      </c>
      <c r="Q67" s="46"/>
      <c r="R67" s="46"/>
      <c r="S67" s="46"/>
      <c r="T67" s="46"/>
      <c r="U67" s="12"/>
      <c r="V67" s="46"/>
    </row>
    <row r="68" spans="1:22">
      <c r="A68" s="46"/>
      <c r="B68" s="116"/>
      <c r="C68" s="66"/>
      <c r="D68" s="66"/>
      <c r="E68" s="69">
        <v>1</v>
      </c>
      <c r="F68" s="96">
        <v>7.5</v>
      </c>
      <c r="G68" s="96">
        <v>1.2</v>
      </c>
      <c r="H68" s="96"/>
      <c r="I68" s="96" t="s">
        <v>263</v>
      </c>
      <c r="J68" s="96"/>
      <c r="K68" s="96"/>
      <c r="L68" s="507" t="s">
        <v>268</v>
      </c>
      <c r="M68" s="695"/>
      <c r="N68" s="649"/>
      <c r="O68" s="11"/>
      <c r="P68" s="374" t="s">
        <v>718</v>
      </c>
      <c r="Q68" s="46"/>
      <c r="R68" s="46"/>
      <c r="S68" s="46"/>
      <c r="T68" s="46"/>
      <c r="U68" s="12"/>
      <c r="V68" s="46"/>
    </row>
    <row r="69" spans="1:22">
      <c r="A69" s="46"/>
      <c r="B69" s="116"/>
      <c r="C69" s="66"/>
      <c r="D69" s="66"/>
      <c r="E69" s="69">
        <v>2</v>
      </c>
      <c r="F69" s="96">
        <v>7.5</v>
      </c>
      <c r="G69" s="96">
        <v>3.5</v>
      </c>
      <c r="H69" s="96"/>
      <c r="I69" s="96" t="s">
        <v>263</v>
      </c>
      <c r="J69" s="96"/>
      <c r="K69" s="96"/>
      <c r="L69" s="508" t="s">
        <v>269</v>
      </c>
      <c r="M69" s="508"/>
      <c r="N69" s="508"/>
      <c r="O69" s="11"/>
      <c r="P69" s="376" t="s">
        <v>720</v>
      </c>
      <c r="Q69" s="46"/>
      <c r="R69" s="46"/>
      <c r="S69" s="46"/>
      <c r="T69" s="46"/>
      <c r="U69" s="12"/>
      <c r="V69" s="46"/>
    </row>
    <row r="70" spans="1:22">
      <c r="A70" s="46"/>
      <c r="B70" s="116"/>
      <c r="C70" s="66"/>
      <c r="D70" s="66"/>
      <c r="E70" s="69">
        <v>3</v>
      </c>
      <c r="F70" s="96">
        <v>25</v>
      </c>
      <c r="G70" s="96">
        <v>3.5</v>
      </c>
      <c r="H70" s="96"/>
      <c r="I70" s="96" t="s">
        <v>262</v>
      </c>
      <c r="J70" s="96"/>
      <c r="K70" s="281" t="s">
        <v>261</v>
      </c>
      <c r="L70" s="508" t="s">
        <v>265</v>
      </c>
      <c r="M70" s="508"/>
      <c r="N70" s="508"/>
      <c r="O70" s="11"/>
      <c r="P70" s="375" t="s">
        <v>719</v>
      </c>
      <c r="Q70" s="46"/>
      <c r="R70" s="46"/>
      <c r="S70" s="46"/>
      <c r="T70" s="46"/>
      <c r="U70" s="12"/>
      <c r="V70" s="46"/>
    </row>
    <row r="71" spans="1:22">
      <c r="A71" s="46"/>
      <c r="B71" s="116"/>
      <c r="C71" s="66"/>
      <c r="D71" s="66"/>
      <c r="E71" s="69">
        <v>4</v>
      </c>
      <c r="F71" s="96">
        <v>30</v>
      </c>
      <c r="G71" s="96">
        <v>1.2</v>
      </c>
      <c r="H71" s="96" t="s">
        <v>261</v>
      </c>
      <c r="I71" s="96"/>
      <c r="J71" s="96" t="s">
        <v>261</v>
      </c>
      <c r="K71" s="96"/>
      <c r="L71" s="508" t="s">
        <v>436</v>
      </c>
      <c r="M71" s="508"/>
      <c r="N71" s="508"/>
      <c r="O71" s="11"/>
      <c r="P71" s="374" t="s">
        <v>721</v>
      </c>
      <c r="Q71" s="46"/>
      <c r="R71" s="46"/>
      <c r="S71" s="46"/>
      <c r="T71" s="46"/>
      <c r="U71" s="12"/>
      <c r="V71" s="46"/>
    </row>
    <row r="72" spans="1:22" ht="19.5" customHeight="1">
      <c r="A72" s="46"/>
      <c r="B72" s="116"/>
      <c r="C72" s="136" t="s">
        <v>714</v>
      </c>
      <c r="D72" s="66"/>
      <c r="E72" s="109"/>
      <c r="F72" s="125"/>
      <c r="G72" s="125"/>
      <c r="H72" s="11"/>
      <c r="I72" s="11"/>
      <c r="J72" s="11"/>
      <c r="K72" s="11"/>
      <c r="L72" s="11"/>
      <c r="M72" s="11"/>
      <c r="N72" s="11"/>
      <c r="O72" s="11"/>
      <c r="P72" s="376" t="s">
        <v>722</v>
      </c>
      <c r="Q72" s="11"/>
      <c r="R72" s="11"/>
      <c r="S72" s="11"/>
      <c r="T72" s="11"/>
      <c r="U72" s="12"/>
      <c r="V72" s="46"/>
    </row>
    <row r="73" spans="1:22" ht="17.5" customHeight="1">
      <c r="A73" s="46"/>
      <c r="B73" s="116"/>
      <c r="C73" s="136" t="s">
        <v>715</v>
      </c>
      <c r="D73" s="66"/>
      <c r="E73" s="109"/>
      <c r="F73" s="11"/>
      <c r="G73" s="11"/>
      <c r="H73" s="11"/>
      <c r="I73" s="11"/>
      <c r="J73" s="11"/>
      <c r="K73" s="11"/>
      <c r="L73" s="11"/>
      <c r="M73" s="11"/>
      <c r="N73" s="11"/>
      <c r="O73" s="11"/>
      <c r="P73" s="376" t="s">
        <v>723</v>
      </c>
      <c r="Q73" s="11"/>
      <c r="R73" s="11"/>
      <c r="S73" s="11"/>
      <c r="T73" s="11"/>
      <c r="U73" s="12"/>
      <c r="V73" s="46"/>
    </row>
    <row r="74" spans="1:22" ht="32" customHeight="1">
      <c r="A74" s="46"/>
      <c r="B74" s="116"/>
      <c r="C74" s="66"/>
      <c r="D74" s="66"/>
      <c r="E74" s="517" t="s">
        <v>40</v>
      </c>
      <c r="F74" s="517" t="s">
        <v>41</v>
      </c>
      <c r="G74" s="517" t="s">
        <v>256</v>
      </c>
      <c r="H74" s="504" t="s">
        <v>806</v>
      </c>
      <c r="I74" s="415"/>
      <c r="J74" s="518" t="s">
        <v>807</v>
      </c>
      <c r="K74" s="415"/>
      <c r="L74" s="11"/>
      <c r="M74" s="123" t="s">
        <v>271</v>
      </c>
      <c r="N74" s="11"/>
      <c r="O74" s="11"/>
      <c r="P74" s="11"/>
      <c r="Q74" s="518" t="s">
        <v>808</v>
      </c>
      <c r="R74" s="513"/>
      <c r="S74" s="513"/>
      <c r="T74" s="514"/>
      <c r="U74" s="12"/>
      <c r="V74" s="46"/>
    </row>
    <row r="75" spans="1:22" ht="11" customHeight="1">
      <c r="A75" s="46"/>
      <c r="B75" s="116"/>
      <c r="C75" s="66"/>
      <c r="D75" s="66"/>
      <c r="E75" s="471"/>
      <c r="F75" s="471"/>
      <c r="G75" s="471"/>
      <c r="H75" s="672"/>
      <c r="I75" s="510"/>
      <c r="J75" s="672"/>
      <c r="K75" s="510"/>
      <c r="L75" s="11"/>
      <c r="M75" s="11" t="s">
        <v>270</v>
      </c>
      <c r="N75" s="11"/>
      <c r="O75" s="11"/>
      <c r="P75" s="11"/>
      <c r="Q75" s="627" t="s">
        <v>809</v>
      </c>
      <c r="R75" s="588"/>
      <c r="S75" s="511"/>
      <c r="T75" s="516"/>
      <c r="U75" s="12"/>
      <c r="V75" s="46"/>
    </row>
    <row r="76" spans="1:22" ht="22" customHeight="1">
      <c r="A76" s="46"/>
      <c r="B76" s="116"/>
      <c r="C76" s="66"/>
      <c r="D76" s="66"/>
      <c r="E76" s="69">
        <v>1</v>
      </c>
      <c r="F76" s="96">
        <v>7.5</v>
      </c>
      <c r="G76" s="698">
        <v>1.2</v>
      </c>
      <c r="H76" s="701"/>
      <c r="I76" s="707">
        <v>93.2</v>
      </c>
      <c r="J76" s="701"/>
      <c r="K76" s="724">
        <f>0.00002*10^(I76/20)</f>
        <v>0.9141763792297517</v>
      </c>
      <c r="L76" s="11"/>
      <c r="M76" s="112" t="s">
        <v>724</v>
      </c>
      <c r="N76" s="11"/>
      <c r="O76" s="11"/>
      <c r="P76" s="11"/>
      <c r="Q76" s="629" t="s">
        <v>399</v>
      </c>
      <c r="R76" s="590" t="s">
        <v>745</v>
      </c>
      <c r="S76" s="452"/>
      <c r="T76" s="516"/>
      <c r="U76" s="12"/>
      <c r="V76" s="46"/>
    </row>
    <row r="77" spans="1:22">
      <c r="A77" s="46"/>
      <c r="B77" s="116"/>
      <c r="C77" s="66"/>
      <c r="D77" s="66"/>
      <c r="E77" s="69">
        <v>2</v>
      </c>
      <c r="F77" s="96">
        <v>7.5</v>
      </c>
      <c r="G77" s="698">
        <v>3.5</v>
      </c>
      <c r="H77" s="701"/>
      <c r="I77" s="707">
        <v>95.8</v>
      </c>
      <c r="J77" s="701"/>
      <c r="K77" s="724">
        <f>0.00002*10^(I77/20)</f>
        <v>1.2331900037229651</v>
      </c>
      <c r="L77" s="11"/>
      <c r="M77" s="11" t="s">
        <v>725</v>
      </c>
      <c r="N77" s="11"/>
      <c r="O77" s="11"/>
      <c r="P77" s="11"/>
      <c r="Q77" s="471"/>
      <c r="R77" s="167" t="s">
        <v>400</v>
      </c>
      <c r="S77" s="469" t="s">
        <v>401</v>
      </c>
      <c r="T77" s="167" t="s">
        <v>402</v>
      </c>
      <c r="U77" s="12"/>
      <c r="V77" s="46"/>
    </row>
    <row r="78" spans="1:22">
      <c r="A78" s="46"/>
      <c r="B78" s="116"/>
      <c r="C78" s="66"/>
      <c r="D78" s="66"/>
      <c r="E78" s="69">
        <v>3</v>
      </c>
      <c r="F78" s="96">
        <v>25</v>
      </c>
      <c r="G78" s="698">
        <v>3.5</v>
      </c>
      <c r="H78" s="701"/>
      <c r="I78" s="707">
        <f>G61</f>
        <v>82.082094186893414</v>
      </c>
      <c r="J78" s="701"/>
      <c r="K78" s="724">
        <f>0.00002*10^(I78/20)</f>
        <v>0.25417609606452374</v>
      </c>
      <c r="L78" s="11"/>
      <c r="M78" s="11" t="s">
        <v>726</v>
      </c>
      <c r="N78" s="11"/>
      <c r="O78" s="11"/>
      <c r="P78" s="11"/>
      <c r="Q78" s="178">
        <v>271</v>
      </c>
      <c r="R78" s="179">
        <v>93.2</v>
      </c>
      <c r="S78" s="179">
        <v>95.8</v>
      </c>
      <c r="T78" s="179">
        <v>82</v>
      </c>
      <c r="U78" s="12"/>
      <c r="V78" s="46"/>
    </row>
    <row r="79" spans="1:22">
      <c r="A79" s="46"/>
      <c r="B79" s="116"/>
      <c r="C79" s="66"/>
      <c r="D79" s="66"/>
      <c r="E79" s="69">
        <v>4</v>
      </c>
      <c r="F79" s="96">
        <v>30</v>
      </c>
      <c r="G79" s="698">
        <v>1.2</v>
      </c>
      <c r="H79" s="17"/>
      <c r="I79" s="707">
        <f>I78-10*LOG10(F79/F78)</f>
        <v>81.290281726417163</v>
      </c>
      <c r="J79" s="17"/>
      <c r="K79" s="724">
        <f>0.00002*10^(I79/20)</f>
        <v>0.2320299689885662</v>
      </c>
      <c r="L79" s="11"/>
      <c r="M79" s="18" t="s">
        <v>727</v>
      </c>
      <c r="N79" s="18"/>
      <c r="O79" s="18"/>
      <c r="P79" s="18"/>
      <c r="Q79" s="178">
        <v>341</v>
      </c>
      <c r="R79" s="179">
        <v>96.5</v>
      </c>
      <c r="S79" s="179">
        <v>98</v>
      </c>
      <c r="T79" s="179">
        <v>85.5</v>
      </c>
      <c r="U79" s="12"/>
      <c r="V79" s="46"/>
    </row>
    <row r="80" spans="1:22">
      <c r="A80" s="46"/>
      <c r="B80" s="116"/>
      <c r="C80" s="76"/>
      <c r="D80" s="66"/>
      <c r="E80" s="139" t="s">
        <v>86</v>
      </c>
      <c r="F80" s="11"/>
      <c r="G80" s="11"/>
      <c r="H80" s="11"/>
      <c r="I80" s="11"/>
      <c r="J80" s="11"/>
      <c r="K80" s="11"/>
      <c r="L80" s="11"/>
      <c r="M80" s="11"/>
      <c r="N80" s="11"/>
      <c r="O80" s="11"/>
      <c r="P80" s="11"/>
      <c r="Q80" s="178">
        <v>386</v>
      </c>
      <c r="R80" s="179">
        <v>98.5</v>
      </c>
      <c r="S80" s="179">
        <v>100.1</v>
      </c>
      <c r="T80" s="179">
        <v>88.1</v>
      </c>
      <c r="U80" s="12"/>
      <c r="V80" s="46"/>
    </row>
    <row r="81" spans="1:22">
      <c r="A81" s="46"/>
      <c r="B81" s="119"/>
      <c r="C81" s="120"/>
      <c r="D81" s="137"/>
      <c r="E81" s="138"/>
      <c r="F81" s="18"/>
      <c r="G81" s="18"/>
      <c r="H81" s="18"/>
      <c r="I81" s="18"/>
      <c r="J81" s="18"/>
      <c r="K81" s="18"/>
      <c r="L81" s="18"/>
      <c r="M81" s="18"/>
      <c r="N81" s="18"/>
      <c r="O81" s="18"/>
      <c r="P81" s="18"/>
      <c r="Q81" s="18"/>
      <c r="R81" s="18"/>
      <c r="S81" s="18"/>
      <c r="T81" s="18"/>
      <c r="U81" s="19"/>
      <c r="V81" s="46"/>
    </row>
    <row r="82" spans="1:22">
      <c r="A82" s="46"/>
      <c r="B82" s="76"/>
      <c r="C82" s="76"/>
      <c r="D82" s="66"/>
      <c r="E82" s="139"/>
      <c r="F82" s="11"/>
      <c r="G82" s="11"/>
      <c r="H82" s="11"/>
      <c r="I82" s="11"/>
      <c r="J82" s="11"/>
      <c r="K82" s="11"/>
      <c r="L82" s="11"/>
      <c r="M82" s="11"/>
      <c r="N82" s="11"/>
      <c r="O82" s="11"/>
      <c r="P82" s="11"/>
      <c r="Q82" s="11"/>
      <c r="R82" s="11"/>
      <c r="S82" s="11"/>
      <c r="T82" s="11"/>
      <c r="U82" s="11"/>
      <c r="V82" s="46"/>
    </row>
    <row r="83" spans="1:22">
      <c r="A83" s="46"/>
      <c r="B83" s="132" t="s">
        <v>272</v>
      </c>
      <c r="C83" s="140"/>
      <c r="D83" s="133"/>
      <c r="E83" s="141"/>
      <c r="F83" s="8"/>
      <c r="G83" s="8"/>
      <c r="H83" s="8"/>
      <c r="I83" s="8"/>
      <c r="J83" s="8"/>
      <c r="K83" s="8"/>
      <c r="L83" s="8"/>
      <c r="M83" s="8"/>
      <c r="N83" s="8"/>
      <c r="O83" s="8"/>
      <c r="P83" s="8"/>
      <c r="Q83" s="8"/>
      <c r="R83" s="8"/>
      <c r="S83" s="8"/>
      <c r="T83" s="8"/>
      <c r="U83" s="9"/>
      <c r="V83" s="46"/>
    </row>
    <row r="84" spans="1:22" ht="16.5">
      <c r="A84" s="46"/>
      <c r="B84" s="116" t="s">
        <v>397</v>
      </c>
      <c r="C84" s="76"/>
      <c r="D84" s="66"/>
      <c r="E84" s="139"/>
      <c r="F84" s="11"/>
      <c r="G84" s="11"/>
      <c r="H84" s="158" t="s">
        <v>710</v>
      </c>
      <c r="I84" s="11" t="s">
        <v>711</v>
      </c>
      <c r="J84" s="11"/>
      <c r="K84" s="11"/>
      <c r="L84" s="11"/>
      <c r="M84" s="11"/>
      <c r="N84" s="11"/>
      <c r="O84" s="11"/>
      <c r="P84" s="11"/>
      <c r="Q84" s="11"/>
      <c r="R84" s="11"/>
      <c r="S84" s="11"/>
      <c r="T84" s="11"/>
      <c r="U84" s="12"/>
      <c r="V84" s="46"/>
    </row>
    <row r="85" spans="1:22" ht="16.5">
      <c r="A85" s="46"/>
      <c r="B85" s="145" t="s">
        <v>712</v>
      </c>
      <c r="C85" s="158"/>
      <c r="D85" s="200">
        <f>MAX('Passby Data Set 5'!D24:D94)</f>
        <v>83.4</v>
      </c>
      <c r="E85" s="143" t="s">
        <v>28</v>
      </c>
      <c r="F85" s="11" t="s">
        <v>273</v>
      </c>
      <c r="G85" s="11"/>
      <c r="H85" s="15">
        <v>40</v>
      </c>
      <c r="I85" s="11" t="s">
        <v>283</v>
      </c>
      <c r="K85" s="107">
        <v>2.95</v>
      </c>
      <c r="L85" s="11" t="s">
        <v>237</v>
      </c>
      <c r="M85" s="11"/>
      <c r="N85" s="11"/>
      <c r="O85" s="11"/>
      <c r="P85" s="11"/>
      <c r="Q85" s="11"/>
      <c r="R85" s="11"/>
      <c r="S85" s="11"/>
      <c r="T85" s="11"/>
      <c r="U85" s="12"/>
      <c r="V85" s="46"/>
    </row>
    <row r="86" spans="1:22">
      <c r="A86" s="46"/>
      <c r="B86" s="116"/>
      <c r="C86" s="76"/>
      <c r="D86" s="66"/>
      <c r="E86" s="143"/>
      <c r="F86" s="11"/>
      <c r="G86" s="11"/>
      <c r="H86" s="15"/>
      <c r="I86" s="11"/>
      <c r="J86" s="107"/>
      <c r="K86" s="11"/>
      <c r="L86" s="11"/>
      <c r="M86" s="11"/>
      <c r="N86" s="11"/>
      <c r="O86" s="11"/>
      <c r="P86" s="11"/>
      <c r="Q86" s="11"/>
      <c r="R86" s="11"/>
      <c r="S86" s="11"/>
      <c r="T86" s="11"/>
      <c r="U86" s="12"/>
      <c r="V86" s="46"/>
    </row>
    <row r="87" spans="1:22" ht="16.5">
      <c r="A87" s="46"/>
      <c r="B87" s="144" t="s">
        <v>274</v>
      </c>
      <c r="C87" s="76"/>
      <c r="D87" s="66"/>
      <c r="E87" s="143"/>
      <c r="F87" s="11"/>
      <c r="G87" s="11"/>
      <c r="H87" s="15"/>
      <c r="I87" s="11"/>
      <c r="J87" s="107"/>
      <c r="K87" s="11"/>
      <c r="L87" s="11"/>
      <c r="M87" s="11"/>
      <c r="N87" s="11"/>
      <c r="O87" s="11"/>
      <c r="P87" s="11"/>
      <c r="Q87" s="11"/>
      <c r="R87" s="11"/>
      <c r="S87" s="11"/>
      <c r="T87" s="11"/>
      <c r="U87" s="12"/>
      <c r="V87" s="46"/>
    </row>
    <row r="88" spans="1:22">
      <c r="A88" s="46"/>
      <c r="B88" s="145"/>
      <c r="C88" s="76"/>
      <c r="D88" s="66"/>
      <c r="E88" s="139"/>
      <c r="F88" s="11"/>
      <c r="G88" s="11"/>
      <c r="H88" s="11"/>
      <c r="I88" s="11"/>
      <c r="J88" s="11"/>
      <c r="K88" s="11"/>
      <c r="L88" s="11"/>
      <c r="M88" s="11" t="s">
        <v>190</v>
      </c>
      <c r="N88" s="11"/>
      <c r="O88" s="11"/>
      <c r="P88" s="11"/>
      <c r="Q88" s="11"/>
      <c r="R88" s="11"/>
      <c r="S88" s="11"/>
      <c r="T88" s="11"/>
      <c r="U88" s="12"/>
      <c r="V88" s="46"/>
    </row>
    <row r="89" spans="1:22" ht="16.5">
      <c r="A89" s="46"/>
      <c r="B89" s="116" t="s">
        <v>275</v>
      </c>
      <c r="C89" s="76"/>
      <c r="D89" s="66"/>
      <c r="E89" s="139"/>
      <c r="F89" s="11"/>
      <c r="G89" s="11"/>
      <c r="H89" s="11"/>
      <c r="I89" s="11"/>
      <c r="J89" s="11"/>
      <c r="K89" s="11"/>
      <c r="L89" s="11" t="s">
        <v>278</v>
      </c>
      <c r="M89" s="11"/>
      <c r="N89" s="11"/>
      <c r="O89" s="11"/>
      <c r="P89" s="11"/>
      <c r="Q89" s="11"/>
      <c r="R89" s="11"/>
      <c r="S89" s="11"/>
      <c r="T89" s="11"/>
      <c r="U89" s="12"/>
      <c r="V89" s="46"/>
    </row>
    <row r="90" spans="1:22">
      <c r="A90" s="46"/>
      <c r="B90" s="116"/>
      <c r="C90" s="76"/>
      <c r="D90" s="66"/>
      <c r="E90" s="139"/>
      <c r="F90" s="11"/>
      <c r="G90" s="11"/>
      <c r="H90" s="11"/>
      <c r="I90" s="11"/>
      <c r="J90" s="11"/>
      <c r="K90" s="11"/>
      <c r="L90" s="11" t="s">
        <v>279</v>
      </c>
      <c r="M90" s="11"/>
      <c r="N90" s="11"/>
      <c r="O90" s="11"/>
      <c r="P90" s="11"/>
      <c r="Q90" s="11"/>
      <c r="R90" s="11"/>
      <c r="S90" s="11"/>
      <c r="T90" s="11"/>
      <c r="U90" s="12"/>
      <c r="V90" s="46"/>
    </row>
    <row r="91" spans="1:22" ht="16.5">
      <c r="A91" s="46"/>
      <c r="B91" s="116" t="s">
        <v>276</v>
      </c>
      <c r="C91" s="76"/>
      <c r="D91" s="66"/>
      <c r="E91" s="139"/>
      <c r="F91" s="15">
        <v>2.5</v>
      </c>
      <c r="G91" s="11" t="s">
        <v>277</v>
      </c>
      <c r="H91" s="11">
        <v>3.5</v>
      </c>
      <c r="I91" s="11"/>
      <c r="J91" s="112" t="s">
        <v>284</v>
      </c>
      <c r="K91" s="112"/>
      <c r="L91" s="147">
        <f t="array" ref="L91">10*LOG(AVERAGE(10^('Passby Data Set 5'!D54:D74/10)))</f>
        <v>82.956980702497717</v>
      </c>
      <c r="M91" s="113" t="s">
        <v>28</v>
      </c>
      <c r="N91" s="51"/>
      <c r="O91" s="11"/>
      <c r="P91" s="11"/>
      <c r="Q91" s="11"/>
      <c r="R91" s="11"/>
      <c r="S91" s="11"/>
      <c r="T91" s="11"/>
      <c r="U91" s="12"/>
      <c r="V91" s="46"/>
    </row>
    <row r="92" spans="1:22" ht="16.5">
      <c r="A92" s="46"/>
      <c r="B92" s="116" t="s">
        <v>280</v>
      </c>
      <c r="C92" s="76"/>
      <c r="D92" s="66"/>
      <c r="E92" s="139"/>
      <c r="F92" s="11"/>
      <c r="G92" s="11"/>
      <c r="H92" s="11"/>
      <c r="I92" s="11"/>
      <c r="J92" s="11"/>
      <c r="K92" s="11"/>
      <c r="L92" s="11"/>
      <c r="M92" s="11"/>
      <c r="N92" s="11"/>
      <c r="O92" s="11"/>
      <c r="P92" s="11"/>
      <c r="Q92" s="11"/>
      <c r="R92" s="11"/>
      <c r="S92" s="11"/>
      <c r="T92" s="11"/>
      <c r="U92" s="12"/>
      <c r="V92" s="46"/>
    </row>
    <row r="93" spans="1:22" ht="16.5">
      <c r="A93" s="46"/>
      <c r="B93" s="119" t="s">
        <v>281</v>
      </c>
      <c r="C93" s="120"/>
      <c r="D93" s="137"/>
      <c r="E93" s="138"/>
      <c r="F93" s="18"/>
      <c r="G93" s="146">
        <v>2.85</v>
      </c>
      <c r="H93" s="108" t="s">
        <v>277</v>
      </c>
      <c r="I93" s="108">
        <v>2.9750000000000001</v>
      </c>
      <c r="J93" s="18"/>
      <c r="K93" s="148" t="s">
        <v>285</v>
      </c>
      <c r="L93" s="149">
        <f t="array" ref="L93">10*LOG(AVERAGE(10^('Passby Data Set 5'!D61:D64/10)))</f>
        <v>83.251439007605441</v>
      </c>
      <c r="M93" s="150" t="s">
        <v>28</v>
      </c>
      <c r="N93" s="18"/>
      <c r="O93" s="18"/>
      <c r="P93" s="18"/>
      <c r="Q93" s="18"/>
      <c r="R93" s="18"/>
      <c r="S93" s="18"/>
      <c r="T93" s="18"/>
      <c r="U93" s="19"/>
      <c r="V93" s="46"/>
    </row>
    <row r="94" spans="1:22">
      <c r="A94" s="46"/>
      <c r="B94" s="79"/>
      <c r="C94" s="79"/>
      <c r="D94" s="82"/>
      <c r="E94" s="126"/>
      <c r="F94" s="46"/>
      <c r="G94" s="46"/>
      <c r="H94" s="46"/>
      <c r="I94" s="46"/>
      <c r="J94" s="46"/>
      <c r="K94" s="46"/>
      <c r="L94" s="46"/>
      <c r="M94" s="46"/>
      <c r="N94" s="46"/>
      <c r="O94" s="46"/>
      <c r="P94" s="46"/>
      <c r="Q94" s="46"/>
      <c r="R94" s="46"/>
      <c r="S94" s="46"/>
      <c r="T94" s="46"/>
      <c r="U94" s="46"/>
      <c r="V94" s="46"/>
    </row>
    <row r="95" spans="1:22">
      <c r="A95" s="46"/>
      <c r="B95" s="132" t="s">
        <v>286</v>
      </c>
      <c r="C95" s="140"/>
      <c r="D95" s="133"/>
      <c r="E95" s="141"/>
      <c r="F95" s="8"/>
      <c r="G95" s="8"/>
      <c r="H95" s="8"/>
      <c r="I95" s="8"/>
      <c r="J95" s="8"/>
      <c r="K95" s="8"/>
      <c r="L95" s="8"/>
      <c r="M95" s="8"/>
      <c r="N95" s="8"/>
      <c r="O95" s="8"/>
      <c r="P95" s="8"/>
      <c r="Q95" s="8"/>
      <c r="R95" s="8"/>
      <c r="S95" s="8"/>
      <c r="T95" s="8"/>
      <c r="U95" s="9"/>
      <c r="V95" s="46"/>
    </row>
    <row r="96" spans="1:22">
      <c r="A96" s="46"/>
      <c r="B96" s="116" t="s">
        <v>397</v>
      </c>
      <c r="C96" s="76"/>
      <c r="D96" s="66"/>
      <c r="E96" s="139"/>
      <c r="F96" s="11"/>
      <c r="G96" s="11"/>
      <c r="H96" s="11"/>
      <c r="I96" s="11"/>
      <c r="J96" s="11"/>
      <c r="K96" s="11"/>
      <c r="L96" s="11"/>
      <c r="M96" s="11"/>
      <c r="N96" s="11"/>
      <c r="O96" s="11"/>
      <c r="P96" s="11"/>
      <c r="Q96" s="11"/>
      <c r="R96" s="11"/>
      <c r="S96" s="11"/>
      <c r="T96" s="11"/>
      <c r="U96" s="12"/>
      <c r="V96" s="46"/>
    </row>
    <row r="97" spans="1:22" ht="15">
      <c r="A97" s="46"/>
      <c r="B97" s="155" t="s">
        <v>293</v>
      </c>
      <c r="C97" s="160"/>
      <c r="D97" s="66"/>
      <c r="E97" s="11"/>
      <c r="F97" s="11"/>
      <c r="G97" s="11"/>
      <c r="H97" s="11"/>
      <c r="I97" s="11"/>
      <c r="J97" s="11"/>
      <c r="K97" s="11"/>
      <c r="L97" s="11"/>
      <c r="M97" s="11"/>
      <c r="N97" s="11"/>
      <c r="O97" s="11"/>
      <c r="P97" s="11"/>
      <c r="Q97" s="11"/>
      <c r="R97" s="11"/>
      <c r="S97" s="11"/>
      <c r="T97" s="11"/>
      <c r="U97" s="12"/>
      <c r="V97" s="46"/>
    </row>
    <row r="98" spans="1:22">
      <c r="A98" s="46"/>
      <c r="B98" s="155" t="s">
        <v>294</v>
      </c>
      <c r="C98" s="160"/>
      <c r="D98" s="66"/>
      <c r="E98" s="11"/>
      <c r="F98" s="11"/>
      <c r="G98" s="11"/>
      <c r="H98" s="11"/>
      <c r="I98" s="11"/>
      <c r="J98" s="11"/>
      <c r="K98" s="11"/>
      <c r="L98" s="11"/>
      <c r="M98" s="11"/>
      <c r="N98" s="11"/>
      <c r="O98" s="11"/>
      <c r="P98" s="11"/>
      <c r="Q98" s="11"/>
      <c r="R98" s="11"/>
      <c r="S98" s="11"/>
      <c r="T98" s="11"/>
      <c r="U98" s="12"/>
      <c r="V98" s="46"/>
    </row>
    <row r="99" spans="1:22">
      <c r="A99" s="46"/>
      <c r="B99" s="116" t="s">
        <v>234</v>
      </c>
      <c r="C99" s="117"/>
      <c r="D99" s="76"/>
      <c r="E99" s="85"/>
      <c r="F99" s="11"/>
      <c r="G99" s="11"/>
      <c r="H99" s="11"/>
      <c r="I99" s="15">
        <v>1</v>
      </c>
      <c r="J99" s="15" t="s">
        <v>238</v>
      </c>
      <c r="K99" s="11"/>
      <c r="L99" s="11"/>
      <c r="M99" s="11"/>
      <c r="N99" s="11"/>
      <c r="O99" s="11"/>
      <c r="P99" s="11"/>
      <c r="Q99" s="11"/>
      <c r="R99" s="11"/>
      <c r="S99" s="11"/>
      <c r="T99" s="11"/>
      <c r="U99" s="12"/>
      <c r="V99" s="46"/>
    </row>
    <row r="100" spans="1:22" ht="16.5">
      <c r="A100" s="46"/>
      <c r="B100" s="116" t="s">
        <v>235</v>
      </c>
      <c r="C100" s="66"/>
      <c r="D100" s="76"/>
      <c r="E100" s="85"/>
      <c r="F100" s="11"/>
      <c r="G100" s="11"/>
      <c r="H100" s="11"/>
      <c r="I100" s="15">
        <v>71</v>
      </c>
      <c r="J100" s="15" t="s">
        <v>239</v>
      </c>
      <c r="K100" s="11" t="s">
        <v>240</v>
      </c>
      <c r="L100" s="11"/>
      <c r="M100" s="11"/>
      <c r="N100" s="118">
        <f>(SUM(F38:F55)+SUM(K38:K55)+SUM(P38:P55)+SUM(U38:U54))*$P$32</f>
        <v>520591456.61601651</v>
      </c>
      <c r="O100" s="11"/>
      <c r="P100" s="11" t="s">
        <v>296</v>
      </c>
      <c r="Q100" s="107">
        <f>R54-C38</f>
        <v>3.5</v>
      </c>
      <c r="R100" s="11" t="s">
        <v>237</v>
      </c>
      <c r="S100" s="11"/>
      <c r="T100" s="11"/>
      <c r="U100" s="12"/>
      <c r="V100" s="46"/>
    </row>
    <row r="101" spans="1:22">
      <c r="A101" s="46"/>
      <c r="B101" s="116"/>
      <c r="C101" s="66"/>
      <c r="D101" s="76"/>
      <c r="E101" s="85"/>
      <c r="F101" s="11"/>
      <c r="G101" s="11"/>
      <c r="H101" s="11"/>
      <c r="I101" s="15"/>
      <c r="J101" s="15"/>
      <c r="K101" s="11"/>
      <c r="L101" s="11"/>
      <c r="M101" s="11"/>
      <c r="N101" s="118"/>
      <c r="O101" s="11"/>
      <c r="P101" s="11"/>
      <c r="Q101" s="11"/>
      <c r="R101" s="11"/>
      <c r="S101" s="11"/>
      <c r="T101" s="11"/>
      <c r="U101" s="12"/>
      <c r="V101" s="46"/>
    </row>
    <row r="102" spans="1:22">
      <c r="A102" s="46"/>
      <c r="B102" s="116"/>
      <c r="C102" s="66"/>
      <c r="D102" s="76"/>
      <c r="E102" s="85"/>
      <c r="F102" s="11"/>
      <c r="G102" s="11"/>
      <c r="H102" s="11"/>
      <c r="I102" s="11"/>
      <c r="J102" s="11"/>
      <c r="K102" s="11"/>
      <c r="L102" s="11"/>
      <c r="M102" s="11"/>
      <c r="N102" s="11"/>
      <c r="O102" s="11"/>
      <c r="P102" s="46"/>
      <c r="Q102" s="11"/>
      <c r="R102" s="11"/>
      <c r="S102" s="11"/>
      <c r="T102" s="11"/>
      <c r="U102" s="12"/>
      <c r="V102" s="46"/>
    </row>
    <row r="103" spans="1:22" ht="16.5">
      <c r="A103" s="46"/>
      <c r="B103" s="116" t="s">
        <v>295</v>
      </c>
      <c r="C103" s="66"/>
      <c r="D103" s="76"/>
      <c r="E103" s="85"/>
      <c r="F103" s="158" t="s">
        <v>297</v>
      </c>
      <c r="G103" s="147">
        <f>10*LOG10((1/Q100)*N100)</f>
        <v>81.724289923100599</v>
      </c>
      <c r="H103" s="113" t="s">
        <v>28</v>
      </c>
      <c r="I103" s="11"/>
      <c r="J103" s="11"/>
      <c r="K103" s="11"/>
      <c r="L103" s="11"/>
      <c r="M103" s="11"/>
      <c r="N103" s="11"/>
      <c r="O103" s="11"/>
      <c r="P103" s="46"/>
      <c r="Q103" s="11"/>
      <c r="R103" s="11"/>
      <c r="S103" s="11"/>
      <c r="T103" s="11"/>
      <c r="U103" s="12"/>
      <c r="V103" s="46"/>
    </row>
    <row r="104" spans="1:22">
      <c r="A104" s="46"/>
      <c r="B104" s="116"/>
      <c r="C104" s="66"/>
      <c r="D104" s="66"/>
      <c r="E104" s="85"/>
      <c r="F104" s="11"/>
      <c r="G104" s="11"/>
      <c r="H104" s="11"/>
      <c r="I104" s="11"/>
      <c r="J104" s="11"/>
      <c r="K104" s="11"/>
      <c r="L104" s="11"/>
      <c r="M104" s="11"/>
      <c r="N104" s="11"/>
      <c r="O104" s="11"/>
      <c r="P104" s="46"/>
      <c r="Q104" s="11"/>
      <c r="R104" s="11"/>
      <c r="S104" s="11"/>
      <c r="T104" s="11"/>
      <c r="U104" s="12"/>
      <c r="V104" s="46"/>
    </row>
    <row r="105" spans="1:22">
      <c r="A105" s="46"/>
      <c r="B105" s="116"/>
      <c r="C105" s="76"/>
      <c r="D105" s="159"/>
      <c r="E105" s="85"/>
      <c r="F105" s="11"/>
      <c r="G105" s="11"/>
      <c r="H105" s="11"/>
      <c r="I105" s="11"/>
      <c r="J105" s="11"/>
      <c r="K105" s="11"/>
      <c r="L105" s="11"/>
      <c r="M105" s="11"/>
      <c r="N105" s="11"/>
      <c r="O105" s="11"/>
      <c r="Q105" s="11"/>
      <c r="R105" s="11"/>
      <c r="S105" s="11"/>
      <c r="T105" s="11"/>
      <c r="U105" s="12"/>
      <c r="V105" s="46"/>
    </row>
    <row r="106" spans="1:22" ht="16.5">
      <c r="A106" s="46"/>
      <c r="B106" s="116" t="s">
        <v>301</v>
      </c>
      <c r="C106" s="160"/>
      <c r="D106" s="66"/>
      <c r="E106" s="109" t="s">
        <v>302</v>
      </c>
      <c r="F106" s="11"/>
      <c r="G106" s="11"/>
      <c r="H106" s="11"/>
      <c r="I106" s="11"/>
      <c r="J106" s="11"/>
      <c r="K106" s="11"/>
      <c r="L106" s="11"/>
      <c r="M106" s="11"/>
      <c r="N106" s="11"/>
      <c r="O106" s="11"/>
      <c r="P106" s="11"/>
      <c r="Q106" s="11"/>
      <c r="R106" s="11"/>
      <c r="S106" s="11"/>
      <c r="T106" s="11"/>
      <c r="U106" s="12"/>
      <c r="V106" s="46"/>
    </row>
    <row r="107" spans="1:22" ht="16.5">
      <c r="A107" s="46"/>
      <c r="B107" s="116"/>
      <c r="C107" s="160"/>
      <c r="D107" s="66"/>
      <c r="E107" s="109" t="s">
        <v>384</v>
      </c>
      <c r="F107" s="11"/>
      <c r="G107" s="11"/>
      <c r="H107" s="11"/>
      <c r="I107" s="11" t="s">
        <v>304</v>
      </c>
      <c r="J107" s="11"/>
      <c r="K107" s="11"/>
      <c r="L107" s="112" t="s">
        <v>305</v>
      </c>
      <c r="M107" s="147">
        <f>G61+10*LOG10(D17/D15)</f>
        <v>84.559440710681955</v>
      </c>
      <c r="N107" s="113" t="s">
        <v>28</v>
      </c>
      <c r="O107" s="11"/>
      <c r="P107" s="11"/>
      <c r="Q107" s="11"/>
      <c r="R107" s="11"/>
      <c r="S107" s="11"/>
      <c r="T107" s="11"/>
      <c r="U107" s="12"/>
      <c r="V107" s="46"/>
    </row>
    <row r="108" spans="1:22" ht="16.5">
      <c r="A108" s="46"/>
      <c r="B108" s="116" t="s">
        <v>306</v>
      </c>
      <c r="C108" s="160"/>
      <c r="D108" s="66"/>
      <c r="E108" s="109" t="s">
        <v>307</v>
      </c>
      <c r="F108" s="11"/>
      <c r="G108" s="11"/>
      <c r="H108" s="11"/>
      <c r="I108" s="11"/>
      <c r="J108" s="11"/>
      <c r="K108" s="11"/>
      <c r="L108" s="11"/>
      <c r="M108" s="11"/>
      <c r="N108" s="11"/>
      <c r="O108" s="11"/>
      <c r="P108" s="11"/>
      <c r="Q108" s="11"/>
      <c r="R108" s="11"/>
      <c r="S108" s="11"/>
      <c r="T108" s="11"/>
      <c r="U108" s="12"/>
      <c r="V108" s="46"/>
    </row>
    <row r="109" spans="1:22" ht="16.5">
      <c r="A109" s="46"/>
      <c r="B109" s="116"/>
      <c r="C109" s="160"/>
      <c r="D109" s="66"/>
      <c r="E109" s="162" t="s">
        <v>308</v>
      </c>
      <c r="F109" s="147">
        <f>G61+10*LOG10(D15)+1</f>
        <v>87.325726242462039</v>
      </c>
      <c r="G109" s="112" t="s">
        <v>28</v>
      </c>
      <c r="H109" s="112"/>
      <c r="I109" s="112" t="s">
        <v>343</v>
      </c>
      <c r="J109" s="147">
        <f>F109-10*LOG10(7.5/30)</f>
        <v>93.346326155741664</v>
      </c>
      <c r="K109" s="112" t="s">
        <v>28</v>
      </c>
      <c r="L109" s="112" t="s">
        <v>398</v>
      </c>
      <c r="M109" s="147">
        <f>F109-10*LOG10(25/30)</f>
        <v>88.11753870293829</v>
      </c>
      <c r="N109" s="211" t="s">
        <v>28</v>
      </c>
      <c r="O109" s="11" t="s">
        <v>309</v>
      </c>
      <c r="P109" s="11"/>
      <c r="Q109" s="11"/>
      <c r="R109" s="11" t="s">
        <v>310</v>
      </c>
      <c r="S109" s="11"/>
      <c r="T109" s="11"/>
      <c r="U109" s="12"/>
      <c r="V109" s="46"/>
    </row>
    <row r="110" spans="1:22">
      <c r="A110" s="46"/>
      <c r="B110" s="116"/>
      <c r="C110" s="160"/>
      <c r="D110" s="66"/>
      <c r="E110" s="109" t="s">
        <v>311</v>
      </c>
      <c r="F110" s="11"/>
      <c r="G110" s="11"/>
      <c r="H110" s="11"/>
      <c r="I110" s="11"/>
      <c r="J110" s="11"/>
      <c r="K110" s="11"/>
      <c r="L110" s="11"/>
      <c r="M110" s="11"/>
      <c r="N110" s="11"/>
      <c r="O110" s="11"/>
      <c r="P110" s="11"/>
      <c r="Q110" s="11"/>
      <c r="R110" s="11"/>
      <c r="S110" s="11"/>
      <c r="T110" s="11"/>
      <c r="U110" s="12"/>
      <c r="V110" s="46"/>
    </row>
    <row r="111" spans="1:22">
      <c r="A111" s="46"/>
      <c r="B111" s="116"/>
      <c r="C111" s="160"/>
      <c r="D111" s="66"/>
      <c r="E111" s="109" t="s">
        <v>312</v>
      </c>
      <c r="F111" s="11"/>
      <c r="G111" s="11"/>
      <c r="H111" s="11"/>
      <c r="I111" s="11"/>
      <c r="J111" s="11"/>
      <c r="K111" s="11"/>
      <c r="L111" s="11"/>
      <c r="M111" s="11"/>
      <c r="N111" s="11"/>
      <c r="O111" s="11"/>
      <c r="P111" s="11"/>
      <c r="Q111" s="11"/>
      <c r="R111" s="11"/>
      <c r="S111" s="11"/>
      <c r="T111" s="11"/>
      <c r="U111" s="12"/>
      <c r="V111" s="46"/>
    </row>
    <row r="112" spans="1:22">
      <c r="A112" s="46"/>
      <c r="B112" s="145" t="s">
        <v>313</v>
      </c>
      <c r="C112" s="160"/>
      <c r="D112" s="66"/>
      <c r="E112" s="109"/>
      <c r="F112" s="11"/>
      <c r="G112" s="11"/>
      <c r="H112" s="11"/>
      <c r="I112" s="11"/>
      <c r="J112" s="11"/>
      <c r="K112" s="11"/>
      <c r="L112" s="11"/>
      <c r="M112" s="11"/>
      <c r="N112" s="11"/>
      <c r="O112" s="11"/>
      <c r="P112" s="11"/>
      <c r="Q112" s="11"/>
      <c r="R112" s="11"/>
      <c r="S112" s="11"/>
      <c r="T112" s="11"/>
      <c r="U112" s="12"/>
      <c r="V112" s="46"/>
    </row>
    <row r="113" spans="1:22">
      <c r="A113" s="46"/>
      <c r="B113" s="116" t="s">
        <v>321</v>
      </c>
      <c r="C113" s="160"/>
      <c r="D113" s="66"/>
      <c r="E113" s="109"/>
      <c r="F113" s="11"/>
      <c r="G113" s="11"/>
      <c r="H113" s="11"/>
      <c r="I113" s="11"/>
      <c r="J113" s="11"/>
      <c r="K113" s="11"/>
      <c r="L113" s="11"/>
      <c r="M113" s="11"/>
      <c r="N113" s="11"/>
      <c r="O113" s="11"/>
      <c r="P113" s="11"/>
      <c r="Q113" s="11"/>
      <c r="R113" s="11"/>
      <c r="S113" s="11"/>
      <c r="T113" s="11"/>
      <c r="U113" s="12"/>
      <c r="V113" s="46"/>
    </row>
    <row r="114" spans="1:22">
      <c r="A114" s="46"/>
      <c r="B114" s="116"/>
      <c r="C114" s="40" t="s">
        <v>325</v>
      </c>
      <c r="D114" s="66"/>
      <c r="E114" s="109"/>
      <c r="F114" s="11"/>
      <c r="G114" s="11"/>
      <c r="H114" s="11"/>
      <c r="I114" s="11"/>
      <c r="J114" s="11"/>
      <c r="K114" s="11"/>
      <c r="L114" s="11"/>
      <c r="M114" s="11"/>
      <c r="N114" s="11"/>
      <c r="O114" s="11"/>
      <c r="P114" s="11"/>
      <c r="Q114" s="11"/>
      <c r="R114" s="11"/>
      <c r="S114" s="11"/>
      <c r="T114" s="11"/>
      <c r="U114" s="12"/>
      <c r="V114" s="46"/>
    </row>
    <row r="115" spans="1:22" ht="16.5">
      <c r="A115" s="46"/>
      <c r="B115" s="116" t="s">
        <v>314</v>
      </c>
      <c r="C115" s="160"/>
      <c r="D115" s="66"/>
      <c r="E115" s="109"/>
      <c r="F115" s="11"/>
      <c r="G115" s="11"/>
      <c r="H115" s="11"/>
      <c r="I115" s="11"/>
      <c r="J115" s="11"/>
      <c r="K115" s="11"/>
      <c r="L115" s="11"/>
      <c r="M115" s="11"/>
      <c r="N115" s="11"/>
      <c r="O115" s="11"/>
      <c r="P115" s="112" t="s">
        <v>315</v>
      </c>
      <c r="Q115" s="147">
        <f>PERCENTILE('Passby Data Set 5'!D24:D94,0.1)</f>
        <v>76.099999999999994</v>
      </c>
      <c r="R115" s="112" t="s">
        <v>28</v>
      </c>
      <c r="S115" s="11"/>
      <c r="T115" s="11"/>
      <c r="U115" s="12"/>
      <c r="V115" s="46"/>
    </row>
    <row r="116" spans="1:22" ht="16.5">
      <c r="A116" s="46"/>
      <c r="B116" s="116" t="s">
        <v>316</v>
      </c>
      <c r="C116" s="160"/>
      <c r="D116" s="66"/>
      <c r="E116" s="109"/>
      <c r="F116" s="11"/>
      <c r="G116" s="11"/>
      <c r="H116" s="11"/>
      <c r="I116" s="11"/>
      <c r="J116" s="11"/>
      <c r="K116" s="11"/>
      <c r="L116" s="11"/>
      <c r="M116" s="11"/>
      <c r="N116" s="11"/>
      <c r="O116" s="11"/>
      <c r="P116" s="112" t="s">
        <v>317</v>
      </c>
      <c r="Q116" s="147">
        <f>PERCENTILE('Passby Data Set 5'!D24:D94,0.5)</f>
        <v>82.3</v>
      </c>
      <c r="R116" s="112" t="s">
        <v>28</v>
      </c>
      <c r="S116" s="11"/>
      <c r="T116" s="11"/>
      <c r="U116" s="12"/>
      <c r="V116" s="46"/>
    </row>
    <row r="117" spans="1:22" ht="16.5">
      <c r="A117" s="46"/>
      <c r="B117" s="119" t="s">
        <v>318</v>
      </c>
      <c r="C117" s="170"/>
      <c r="D117" s="137"/>
      <c r="E117" s="171"/>
      <c r="F117" s="18"/>
      <c r="G117" s="18"/>
      <c r="H117" s="18"/>
      <c r="I117" s="18"/>
      <c r="J117" s="18"/>
      <c r="K117" s="18"/>
      <c r="L117" s="18"/>
      <c r="M117" s="18"/>
      <c r="N117" s="18"/>
      <c r="O117" s="18"/>
      <c r="P117" s="148" t="s">
        <v>319</v>
      </c>
      <c r="Q117" s="149">
        <f>PERCENTILE('Passby Data Set 5'!D24:D94,0.9)</f>
        <v>83</v>
      </c>
      <c r="R117" s="148" t="s">
        <v>28</v>
      </c>
      <c r="S117" s="18"/>
      <c r="T117" s="18"/>
      <c r="U117" s="19"/>
      <c r="V117" s="46"/>
    </row>
    <row r="118" spans="1:22">
      <c r="A118" s="46"/>
      <c r="B118" s="76"/>
      <c r="C118" s="160"/>
      <c r="D118" s="66"/>
      <c r="E118" s="109"/>
      <c r="F118" s="11"/>
      <c r="G118" s="11"/>
      <c r="H118" s="11"/>
      <c r="I118" s="11"/>
      <c r="J118" s="11"/>
      <c r="K118" s="11"/>
      <c r="L118" s="11"/>
      <c r="M118" s="11"/>
      <c r="N118" s="11"/>
      <c r="O118" s="46"/>
      <c r="P118" s="168"/>
      <c r="Q118" s="169"/>
      <c r="R118" s="168"/>
      <c r="S118" s="46"/>
      <c r="T118" s="46"/>
      <c r="U118" s="46"/>
      <c r="V118" s="46"/>
    </row>
    <row r="119" spans="1:22">
      <c r="A119" s="46"/>
      <c r="B119" s="132" t="s">
        <v>345</v>
      </c>
      <c r="C119" s="181"/>
      <c r="D119" s="133"/>
      <c r="E119" s="182"/>
      <c r="F119" s="8"/>
      <c r="G119" s="8"/>
      <c r="H119" s="8"/>
      <c r="I119" s="8"/>
      <c r="J119" s="8"/>
      <c r="K119" s="8"/>
      <c r="L119" s="8"/>
      <c r="M119" s="8"/>
      <c r="N119" s="8"/>
      <c r="O119" s="8"/>
      <c r="P119" s="47"/>
      <c r="Q119" s="183"/>
      <c r="R119" s="47"/>
      <c r="S119" s="8"/>
      <c r="T119" s="8"/>
      <c r="U119" s="9"/>
      <c r="V119" s="46"/>
    </row>
    <row r="120" spans="1:22" ht="16.5">
      <c r="A120" s="46"/>
      <c r="B120" s="116" t="s">
        <v>346</v>
      </c>
      <c r="C120" s="160"/>
      <c r="D120" s="66"/>
      <c r="E120" s="109"/>
      <c r="F120" s="11"/>
      <c r="G120" s="11"/>
      <c r="H120" s="11"/>
      <c r="I120" s="15">
        <f>D13</f>
        <v>271</v>
      </c>
      <c r="J120" s="11" t="s">
        <v>19</v>
      </c>
      <c r="K120" s="11" t="s">
        <v>357</v>
      </c>
      <c r="L120" s="11"/>
      <c r="M120" s="11"/>
      <c r="N120" s="11"/>
      <c r="O120" s="11"/>
      <c r="P120" s="112"/>
      <c r="Q120" s="147"/>
      <c r="R120" s="112"/>
      <c r="S120" s="11"/>
      <c r="T120" s="11"/>
      <c r="U120" s="12"/>
      <c r="V120" s="46"/>
    </row>
    <row r="121" spans="1:22">
      <c r="A121" s="46"/>
      <c r="B121" s="116"/>
      <c r="C121" s="177"/>
      <c r="D121" s="66"/>
      <c r="E121" s="109"/>
      <c r="F121" s="11"/>
      <c r="G121" s="11"/>
      <c r="H121" s="11"/>
      <c r="I121" s="11"/>
      <c r="J121" s="11"/>
      <c r="K121" s="11"/>
      <c r="L121" s="11"/>
      <c r="M121" s="11"/>
      <c r="N121" s="11"/>
      <c r="O121" s="11"/>
      <c r="P121" s="112"/>
      <c r="Q121" s="147"/>
      <c r="R121" s="112"/>
      <c r="S121" s="11"/>
      <c r="T121" s="11"/>
      <c r="U121" s="12"/>
      <c r="V121" s="46"/>
    </row>
    <row r="122" spans="1:22" ht="29" customHeight="1">
      <c r="A122" s="46"/>
      <c r="B122" s="116"/>
      <c r="C122" s="160"/>
      <c r="D122" s="379" t="s">
        <v>40</v>
      </c>
      <c r="E122" s="630" t="s">
        <v>349</v>
      </c>
      <c r="F122" s="501"/>
      <c r="G122" s="454"/>
      <c r="H122" s="455"/>
      <c r="I122" s="455"/>
      <c r="J122" s="455"/>
      <c r="K122" s="455"/>
      <c r="L122" s="455"/>
      <c r="M122" s="455"/>
      <c r="N122" s="457"/>
      <c r="O122" s="11"/>
      <c r="P122" s="543" t="s">
        <v>404</v>
      </c>
      <c r="Q122" s="504"/>
      <c r="R122" s="504"/>
      <c r="S122" s="506"/>
      <c r="T122" s="11"/>
      <c r="U122" s="12"/>
      <c r="V122" s="46"/>
    </row>
    <row r="123" spans="1:22" ht="16.5">
      <c r="A123" s="46"/>
      <c r="B123" s="116"/>
      <c r="C123" s="160"/>
      <c r="D123" s="408"/>
      <c r="E123" s="167" t="s">
        <v>350</v>
      </c>
      <c r="F123" s="351" t="s">
        <v>713</v>
      </c>
      <c r="G123" s="5" t="s">
        <v>351</v>
      </c>
      <c r="H123" s="461" t="s">
        <v>352</v>
      </c>
      <c r="I123" s="461" t="s">
        <v>353</v>
      </c>
      <c r="J123" s="461" t="s">
        <v>347</v>
      </c>
      <c r="K123" s="461" t="s">
        <v>348</v>
      </c>
      <c r="L123" s="461" t="s">
        <v>354</v>
      </c>
      <c r="M123" s="461" t="s">
        <v>355</v>
      </c>
      <c r="N123" s="5" t="s">
        <v>356</v>
      </c>
      <c r="O123" s="11"/>
      <c r="P123" s="592" t="s">
        <v>399</v>
      </c>
      <c r="Q123" s="495" t="s">
        <v>400</v>
      </c>
      <c r="R123" s="495" t="s">
        <v>401</v>
      </c>
      <c r="S123" s="495" t="s">
        <v>402</v>
      </c>
      <c r="T123" s="11"/>
      <c r="U123" s="12"/>
      <c r="V123" s="46"/>
    </row>
    <row r="124" spans="1:22">
      <c r="A124" s="46"/>
      <c r="B124" s="116"/>
      <c r="C124" s="160"/>
      <c r="D124" s="175">
        <v>1</v>
      </c>
      <c r="E124" s="179">
        <f>E126/$S$125</f>
        <v>93.293307051444714</v>
      </c>
      <c r="F124" s="179">
        <f t="shared" ref="F124:N124" si="8">F126/$S$125</f>
        <v>94.791219512195127</v>
      </c>
      <c r="G124" s="179">
        <f t="shared" si="8"/>
        <v>94.287690261863261</v>
      </c>
      <c r="H124" s="179">
        <f t="shared" si="8"/>
        <v>94.622367262302774</v>
      </c>
      <c r="I124" s="179">
        <f t="shared" si="8"/>
        <v>92.886631961377759</v>
      </c>
      <c r="J124" s="179">
        <f t="shared" si="8"/>
        <v>96.109022856531197</v>
      </c>
      <c r="K124" s="179">
        <f t="shared" si="8"/>
        <v>100.15310496480303</v>
      </c>
      <c r="L124" s="179">
        <f t="shared" si="8"/>
        <v>86.494146341463406</v>
      </c>
      <c r="M124" s="179">
        <f t="shared" si="8"/>
        <v>93.540975609756089</v>
      </c>
      <c r="N124" s="179">
        <f t="shared" si="8"/>
        <v>94.336585365853651</v>
      </c>
      <c r="O124" s="11"/>
      <c r="P124" s="625"/>
      <c r="Q124" s="471"/>
      <c r="R124" s="471"/>
      <c r="S124" s="471"/>
      <c r="T124" s="11"/>
      <c r="U124" s="12"/>
      <c r="V124" s="46"/>
    </row>
    <row r="125" spans="1:22">
      <c r="A125" s="46"/>
      <c r="B125" s="116"/>
      <c r="C125" s="160"/>
      <c r="D125" s="175">
        <v>2</v>
      </c>
      <c r="E125" s="179">
        <f>E124*$R$125</f>
        <v>95.895910037858414</v>
      </c>
      <c r="F125" s="179">
        <f t="shared" ref="F125:N125" si="9">F124*$R$125</f>
        <v>97.435609756097563</v>
      </c>
      <c r="G125" s="179">
        <f t="shared" si="9"/>
        <v>96.918033552430259</v>
      </c>
      <c r="H125" s="179">
        <f t="shared" si="9"/>
        <v>97.262047035714659</v>
      </c>
      <c r="I125" s="179">
        <f t="shared" si="9"/>
        <v>95.477889934549239</v>
      </c>
      <c r="J125" s="179">
        <f t="shared" si="9"/>
        <v>98.790175854674771</v>
      </c>
      <c r="K125" s="179">
        <f t="shared" si="9"/>
        <v>102.94707570416449</v>
      </c>
      <c r="L125" s="179">
        <f t="shared" si="9"/>
        <v>88.907073170731692</v>
      </c>
      <c r="M125" s="179">
        <f t="shared" si="9"/>
        <v>96.15048780487804</v>
      </c>
      <c r="N125" s="179">
        <f t="shared" si="9"/>
        <v>96.968292682926815</v>
      </c>
      <c r="O125" s="11"/>
      <c r="P125" s="218">
        <v>271</v>
      </c>
      <c r="Q125" s="219">
        <f>R78/$R$78</f>
        <v>1</v>
      </c>
      <c r="R125" s="219">
        <f t="shared" ref="R125:S125" si="10">S78/$R$78</f>
        <v>1.0278969957081545</v>
      </c>
      <c r="S125" s="219">
        <f t="shared" si="10"/>
        <v>0.87982832618025753</v>
      </c>
      <c r="T125" s="11"/>
      <c r="U125" s="12"/>
      <c r="V125" s="46"/>
    </row>
    <row r="126" spans="1:22">
      <c r="A126" s="46"/>
      <c r="B126" s="116"/>
      <c r="C126" s="160"/>
      <c r="D126" s="175">
        <v>3</v>
      </c>
      <c r="E126" s="179">
        <f>G61</f>
        <v>82.082094186893414</v>
      </c>
      <c r="F126" s="179">
        <f>D85</f>
        <v>83.4</v>
      </c>
      <c r="G126" s="179">
        <f>L91</f>
        <v>82.956980702497717</v>
      </c>
      <c r="H126" s="179">
        <f>L93</f>
        <v>83.251439007605441</v>
      </c>
      <c r="I126" s="179">
        <f>G103</f>
        <v>81.724289923100599</v>
      </c>
      <c r="J126" s="179">
        <f>M107</f>
        <v>84.559440710681955</v>
      </c>
      <c r="K126" s="179">
        <f>M109</f>
        <v>88.11753870293829</v>
      </c>
      <c r="L126" s="179">
        <f>Q115</f>
        <v>76.099999999999994</v>
      </c>
      <c r="M126" s="179">
        <f>Q116</f>
        <v>82.3</v>
      </c>
      <c r="N126" s="179">
        <f>Q117</f>
        <v>83</v>
      </c>
      <c r="O126" s="11"/>
      <c r="P126" s="217">
        <v>341</v>
      </c>
      <c r="Q126" s="219">
        <f t="shared" ref="Q126:S127" si="11">R79/$R$78</f>
        <v>1.0354077253218883</v>
      </c>
      <c r="R126" s="219">
        <f t="shared" si="11"/>
        <v>1.0515021459227467</v>
      </c>
      <c r="S126" s="219">
        <f t="shared" si="11"/>
        <v>0.91738197424892698</v>
      </c>
      <c r="T126" s="11"/>
      <c r="U126" s="12"/>
      <c r="V126" s="46"/>
    </row>
    <row r="127" spans="1:22">
      <c r="A127" s="46"/>
      <c r="B127" s="116"/>
      <c r="C127" s="160"/>
      <c r="D127" s="175">
        <v>4</v>
      </c>
      <c r="E127" s="179">
        <f>$E$126-10*LOG10(30/25)</f>
        <v>81.290281726417163</v>
      </c>
      <c r="F127" s="179">
        <f>$F$126-10*LOG10(30/25)</f>
        <v>82.608187539523755</v>
      </c>
      <c r="G127" s="179">
        <f>$G$126-10*LOG10(30/25)</f>
        <v>82.165168242021466</v>
      </c>
      <c r="H127" s="179">
        <f>$H$126-10*LOG10(30/25)</f>
        <v>82.45962654712919</v>
      </c>
      <c r="I127" s="179">
        <f>$I$126-10*LOG10(30/25)</f>
        <v>80.932477462624348</v>
      </c>
      <c r="J127" s="179">
        <f>$J$126-10*LOG10(30/25)</f>
        <v>83.767628250205703</v>
      </c>
      <c r="K127" s="179">
        <f>$K$126-10*LOG10(30/25)</f>
        <v>87.325726242462039</v>
      </c>
      <c r="L127" s="179">
        <f>$L$126-10*LOG10(30/25)</f>
        <v>75.308187539523743</v>
      </c>
      <c r="M127" s="179">
        <f>$M$126-10*LOG10(30/25)</f>
        <v>81.508187539523746</v>
      </c>
      <c r="N127" s="179">
        <f>$N$126-10*LOG10(30/25)</f>
        <v>82.208187539523749</v>
      </c>
      <c r="O127" s="11"/>
      <c r="P127" s="217">
        <v>386</v>
      </c>
      <c r="Q127" s="219">
        <f t="shared" si="11"/>
        <v>1.0568669527896994</v>
      </c>
      <c r="R127" s="219">
        <f t="shared" si="11"/>
        <v>1.0740343347639485</v>
      </c>
      <c r="S127" s="219">
        <f t="shared" si="11"/>
        <v>0.94527896995708149</v>
      </c>
      <c r="T127" s="11"/>
      <c r="U127" s="12"/>
      <c r="V127" s="46"/>
    </row>
    <row r="128" spans="1:22">
      <c r="A128" s="46"/>
      <c r="B128" s="119"/>
      <c r="C128" s="170"/>
      <c r="D128" s="137"/>
      <c r="E128" s="171"/>
      <c r="F128" s="18"/>
      <c r="G128" s="18"/>
      <c r="H128" s="18"/>
      <c r="I128" s="18"/>
      <c r="J128" s="18"/>
      <c r="K128" s="18"/>
      <c r="L128" s="18"/>
      <c r="M128" s="18"/>
      <c r="N128" s="18"/>
      <c r="O128" s="18"/>
      <c r="P128" s="148"/>
      <c r="Q128" s="149"/>
      <c r="R128" s="148"/>
      <c r="S128" s="18"/>
      <c r="T128" s="18"/>
      <c r="U128" s="19"/>
      <c r="V128" s="46"/>
    </row>
    <row r="129" spans="1:22">
      <c r="A129" s="46"/>
      <c r="B129" s="76"/>
      <c r="C129" s="160"/>
      <c r="D129" s="66"/>
      <c r="E129" s="109"/>
      <c r="F129" s="11"/>
      <c r="G129" s="11"/>
      <c r="H129" s="11"/>
      <c r="I129" s="11"/>
      <c r="J129" s="11"/>
      <c r="K129" s="11"/>
      <c r="L129" s="11"/>
      <c r="M129" s="11"/>
      <c r="N129" s="11"/>
      <c r="O129" s="46"/>
      <c r="P129" s="168"/>
      <c r="Q129" s="169"/>
      <c r="R129" s="168"/>
      <c r="S129" s="46"/>
      <c r="T129" s="46"/>
      <c r="U129" s="46"/>
      <c r="V129" s="46"/>
    </row>
    <row r="130" spans="1:22">
      <c r="A130" s="46"/>
      <c r="B130" s="132" t="s">
        <v>320</v>
      </c>
      <c r="C130" s="181"/>
      <c r="D130" s="133"/>
      <c r="E130" s="182"/>
      <c r="F130" s="8"/>
      <c r="G130" s="8"/>
      <c r="H130" s="8"/>
      <c r="I130" s="8"/>
      <c r="J130" s="8"/>
      <c r="K130" s="8"/>
      <c r="L130" s="8"/>
      <c r="M130" s="8"/>
      <c r="N130" s="8"/>
      <c r="O130" s="8"/>
      <c r="P130" s="8"/>
      <c r="Q130" s="8"/>
      <c r="R130" s="8"/>
      <c r="S130" s="8"/>
      <c r="T130" s="8"/>
      <c r="U130" s="9"/>
      <c r="V130" s="46"/>
    </row>
    <row r="131" spans="1:22" ht="16.5">
      <c r="A131" s="46"/>
      <c r="B131" s="116" t="s">
        <v>324</v>
      </c>
      <c r="C131" s="160"/>
      <c r="D131" s="66"/>
      <c r="E131" s="109"/>
      <c r="F131" s="11"/>
      <c r="G131" s="11"/>
      <c r="H131" s="11"/>
      <c r="I131" s="11"/>
      <c r="J131" s="11"/>
      <c r="K131" s="11"/>
      <c r="L131" s="11"/>
      <c r="M131" s="11"/>
      <c r="N131" s="11"/>
      <c r="O131" s="11"/>
      <c r="P131" s="11"/>
      <c r="Q131" s="11"/>
      <c r="R131" s="11"/>
      <c r="S131" s="11"/>
      <c r="T131" s="11"/>
      <c r="U131" s="12"/>
      <c r="V131" s="46"/>
    </row>
    <row r="132" spans="1:22" ht="16.5">
      <c r="A132" s="46"/>
      <c r="B132" s="145"/>
      <c r="C132" s="11" t="s">
        <v>326</v>
      </c>
      <c r="D132" s="66"/>
      <c r="E132" s="109"/>
      <c r="F132" s="11"/>
      <c r="G132" s="11"/>
      <c r="H132" s="11" t="s">
        <v>329</v>
      </c>
      <c r="I132" s="11" t="s">
        <v>330</v>
      </c>
      <c r="J132" s="11" t="s">
        <v>331</v>
      </c>
      <c r="K132" s="11"/>
      <c r="L132" s="11"/>
      <c r="M132" s="11" t="s">
        <v>334</v>
      </c>
      <c r="N132" s="11"/>
      <c r="O132" s="11"/>
      <c r="P132" s="11"/>
      <c r="Q132" s="11"/>
      <c r="R132" s="11"/>
      <c r="S132" s="11"/>
      <c r="T132" s="11"/>
      <c r="U132" s="12"/>
      <c r="V132" s="46"/>
    </row>
    <row r="133" spans="1:22" ht="16.5">
      <c r="A133" s="46"/>
      <c r="B133" s="187" t="s">
        <v>327</v>
      </c>
      <c r="C133" s="11" t="s">
        <v>328</v>
      </c>
      <c r="D133" s="66"/>
      <c r="E133" s="109"/>
      <c r="F133" s="11"/>
      <c r="G133" s="11"/>
      <c r="H133" s="11"/>
      <c r="I133" s="11" t="s">
        <v>332</v>
      </c>
      <c r="J133" s="11" t="s">
        <v>333</v>
      </c>
      <c r="K133" s="11"/>
      <c r="L133" s="11"/>
      <c r="M133" s="11"/>
      <c r="N133" s="11"/>
      <c r="O133" s="11"/>
      <c r="P133" s="11"/>
      <c r="Q133" s="11"/>
      <c r="R133" s="11"/>
      <c r="S133" s="11"/>
      <c r="T133" s="11"/>
      <c r="U133" s="12"/>
      <c r="V133" s="46"/>
    </row>
    <row r="134" spans="1:22">
      <c r="A134" s="46"/>
      <c r="B134" s="116" t="s">
        <v>335</v>
      </c>
      <c r="C134" s="160"/>
      <c r="D134" s="66"/>
      <c r="E134" s="109"/>
      <c r="F134" s="11"/>
      <c r="G134" s="11"/>
      <c r="H134" s="11"/>
      <c r="I134" s="11"/>
      <c r="J134" s="11"/>
      <c r="K134" s="11"/>
      <c r="L134" s="11"/>
      <c r="M134" s="11"/>
      <c r="N134" s="11"/>
      <c r="O134" s="11"/>
      <c r="P134" s="11" t="s">
        <v>336</v>
      </c>
      <c r="Q134" s="11"/>
      <c r="R134" s="11"/>
      <c r="S134" s="11"/>
      <c r="T134" s="11"/>
      <c r="U134" s="12"/>
      <c r="V134" s="46"/>
    </row>
    <row r="135" spans="1:22">
      <c r="A135" s="46"/>
      <c r="B135" s="116" t="s">
        <v>337</v>
      </c>
      <c r="C135" s="160"/>
      <c r="D135" s="66"/>
      <c r="E135" s="109"/>
      <c r="F135" s="11"/>
      <c r="G135" s="11"/>
      <c r="H135" s="11"/>
      <c r="I135" s="11"/>
      <c r="J135" s="11"/>
      <c r="K135" s="11"/>
      <c r="L135" s="11"/>
      <c r="M135" s="11"/>
      <c r="N135" s="11"/>
      <c r="O135" s="11"/>
      <c r="P135" s="11"/>
      <c r="Q135" s="11"/>
      <c r="R135" s="11"/>
      <c r="S135" s="11"/>
      <c r="T135" s="11"/>
      <c r="U135" s="12"/>
      <c r="V135" s="46"/>
    </row>
    <row r="136" spans="1:22">
      <c r="A136" s="46"/>
      <c r="B136" s="116"/>
      <c r="C136" s="172" t="s">
        <v>339</v>
      </c>
      <c r="D136" s="66"/>
      <c r="E136" s="109"/>
      <c r="F136" s="15" t="s">
        <v>340</v>
      </c>
      <c r="G136" s="173">
        <v>6.25E-2</v>
      </c>
      <c r="H136" s="15" t="s">
        <v>341</v>
      </c>
      <c r="I136" s="107">
        <v>25</v>
      </c>
      <c r="J136" s="11"/>
      <c r="K136" s="11"/>
      <c r="L136" s="11"/>
      <c r="M136" s="11"/>
      <c r="N136" s="11"/>
      <c r="O136" s="11"/>
      <c r="P136" s="11"/>
      <c r="Q136" s="11"/>
      <c r="R136" s="11"/>
      <c r="S136" s="11"/>
      <c r="T136" s="11"/>
      <c r="U136" s="12"/>
      <c r="V136" s="46"/>
    </row>
    <row r="137" spans="1:22" ht="16.5">
      <c r="A137" s="46"/>
      <c r="B137" s="116" t="s">
        <v>344</v>
      </c>
      <c r="C137" s="160"/>
      <c r="D137" s="66">
        <f>D13</f>
        <v>271</v>
      </c>
      <c r="E137" s="109" t="s">
        <v>19</v>
      </c>
      <c r="F137" s="11"/>
      <c r="G137" s="11"/>
      <c r="H137" s="11"/>
      <c r="I137" s="11"/>
      <c r="J137" s="11"/>
      <c r="K137" s="11"/>
      <c r="L137" s="11"/>
      <c r="M137" s="11"/>
      <c r="N137" s="11"/>
      <c r="O137" s="11"/>
      <c r="P137" s="11"/>
      <c r="Q137" s="11"/>
      <c r="R137" s="11"/>
      <c r="S137" s="11"/>
      <c r="T137" s="11"/>
      <c r="U137" s="12"/>
      <c r="V137" s="46"/>
    </row>
    <row r="138" spans="1:22">
      <c r="A138" s="46"/>
      <c r="B138" s="116" t="s">
        <v>358</v>
      </c>
      <c r="C138" s="160"/>
      <c r="D138" s="66"/>
      <c r="E138" s="109"/>
      <c r="F138" s="11"/>
      <c r="G138" s="11"/>
      <c r="H138" s="11"/>
      <c r="I138" s="11"/>
      <c r="J138" s="11"/>
      <c r="K138" s="11"/>
      <c r="L138" s="11"/>
      <c r="M138" s="11"/>
      <c r="N138" s="11"/>
      <c r="O138" s="11"/>
      <c r="P138" s="11"/>
      <c r="Q138" s="11"/>
      <c r="R138" s="11"/>
      <c r="S138" s="11"/>
      <c r="T138" s="11"/>
      <c r="U138" s="12"/>
      <c r="V138" s="46"/>
    </row>
    <row r="139" spans="1:22">
      <c r="A139" s="46"/>
      <c r="B139" s="142"/>
      <c r="C139" s="160"/>
      <c r="D139" s="66"/>
      <c r="E139" s="109"/>
      <c r="F139" s="11"/>
      <c r="G139" s="11"/>
      <c r="H139" s="11"/>
      <c r="I139" s="11"/>
      <c r="J139" s="11"/>
      <c r="K139" s="11"/>
      <c r="L139" s="11"/>
      <c r="M139" s="11"/>
      <c r="N139" s="11"/>
      <c r="O139" s="11"/>
      <c r="P139" s="11"/>
      <c r="Q139" s="11"/>
      <c r="R139" s="11"/>
      <c r="S139" s="11"/>
      <c r="T139" s="11"/>
      <c r="U139" s="12"/>
      <c r="V139" s="46"/>
    </row>
    <row r="140" spans="1:22" ht="14.5" customHeight="1">
      <c r="A140" s="46"/>
      <c r="B140" s="142"/>
      <c r="C140" s="552"/>
      <c r="D140" s="553"/>
      <c r="E140" s="556" t="s">
        <v>410</v>
      </c>
      <c r="F140" s="501"/>
      <c r="G140" s="501"/>
      <c r="H140" s="501"/>
      <c r="I140" s="501"/>
      <c r="J140" s="454"/>
      <c r="K140" s="455"/>
      <c r="L140" s="455"/>
      <c r="M140" s="455"/>
      <c r="N140" s="457"/>
      <c r="O140" s="11"/>
      <c r="P140" s="11"/>
      <c r="Q140" s="11"/>
      <c r="R140" s="11"/>
      <c r="S140" s="11"/>
      <c r="T140" s="11"/>
      <c r="U140" s="12"/>
      <c r="V140" s="46"/>
    </row>
    <row r="141" spans="1:22" ht="31.5" customHeight="1">
      <c r="A141" s="46"/>
      <c r="B141" s="142"/>
      <c r="C141" s="597" t="s">
        <v>266</v>
      </c>
      <c r="D141" s="405" t="s">
        <v>338</v>
      </c>
      <c r="E141" s="167" t="s">
        <v>350</v>
      </c>
      <c r="F141" s="351" t="s">
        <v>713</v>
      </c>
      <c r="G141" s="165" t="s">
        <v>351</v>
      </c>
      <c r="H141" s="165" t="s">
        <v>352</v>
      </c>
      <c r="I141" s="165" t="s">
        <v>353</v>
      </c>
      <c r="J141" s="165" t="s">
        <v>347</v>
      </c>
      <c r="K141" s="405" t="s">
        <v>348</v>
      </c>
      <c r="L141" s="405" t="s">
        <v>354</v>
      </c>
      <c r="M141" s="405" t="s">
        <v>355</v>
      </c>
      <c r="N141" s="165" t="s">
        <v>356</v>
      </c>
      <c r="O141" s="11"/>
      <c r="P141" s="11"/>
      <c r="Q141" s="11"/>
      <c r="R141" s="11"/>
      <c r="S141" s="11"/>
      <c r="T141" s="11"/>
      <c r="U141" s="12"/>
      <c r="V141" s="46"/>
    </row>
    <row r="142" spans="1:22">
      <c r="A142" s="46"/>
      <c r="B142" s="142"/>
      <c r="C142" s="174">
        <v>80</v>
      </c>
      <c r="D142" s="176">
        <f>$G$136*C142+$I$136</f>
        <v>30</v>
      </c>
      <c r="E142" s="179">
        <f>$D$142*LOG(C142/$D$137)+$E$148</f>
        <v>77.396927934970847</v>
      </c>
      <c r="F142" s="179">
        <f>$D$142*LOG(C142/$D$137)+$F$148</f>
        <v>78.894840395721261</v>
      </c>
      <c r="G142" s="179">
        <f>$D$142*LOG(C142/$D$137)+$G$148</f>
        <v>78.391311145389395</v>
      </c>
      <c r="H142" s="179">
        <f>$D$142*LOG(C142/$D$137)+$H$148</f>
        <v>78.725988145828907</v>
      </c>
      <c r="I142" s="179">
        <f>$D$142*LOG(C142/$D$137)+$I$148</f>
        <v>76.990252844903893</v>
      </c>
      <c r="J142" s="179">
        <f>$D$142*LOG(C142/$D$137)+$J$148</f>
        <v>80.212643740057331</v>
      </c>
      <c r="K142" s="179">
        <f>$D$142*LOG(C142/$D$137)+$K$148</f>
        <v>84.256725848329168</v>
      </c>
      <c r="L142" s="179">
        <f>$D$142*LOG(C142/$D$137)+$L$148</f>
        <v>70.597767224989539</v>
      </c>
      <c r="M142" s="179">
        <f>$D$142*LOG(C142/$D$137)+$M$148</f>
        <v>77.644596493282222</v>
      </c>
      <c r="N142" s="179">
        <f>$D$142*LOG(C142/$D$137)+$N$148</f>
        <v>78.440206249379784</v>
      </c>
      <c r="O142" s="11"/>
      <c r="P142" s="11"/>
      <c r="Q142" s="11"/>
      <c r="R142" s="11"/>
      <c r="S142" s="11"/>
      <c r="T142" s="11"/>
      <c r="U142" s="12"/>
      <c r="V142" s="46"/>
    </row>
    <row r="143" spans="1:22">
      <c r="A143" s="46"/>
      <c r="B143" s="142"/>
      <c r="C143" s="174">
        <v>150</v>
      </c>
      <c r="D143" s="176">
        <f t="shared" ref="D143:D148" si="12">$G$136*C143+$I$136</f>
        <v>34.375</v>
      </c>
      <c r="E143" s="179">
        <f>$D$143*LOG(C143/$D$137)+$E$148</f>
        <v>84.463124707676059</v>
      </c>
      <c r="F143" s="179">
        <f>$D$143*LOG(C143/$D$137)+$F$148</f>
        <v>85.961037168426472</v>
      </c>
      <c r="G143" s="179">
        <f>$D$143*LOG(C143/$D$137)+$G$148</f>
        <v>85.457507918094606</v>
      </c>
      <c r="H143" s="179">
        <f>$D$143*LOG(C143/$D$137)+$H$148</f>
        <v>85.792184918534119</v>
      </c>
      <c r="I143" s="179">
        <f>$D$143*LOG(C143/$D$137)+$I$148</f>
        <v>84.056449617609104</v>
      </c>
      <c r="J143" s="179">
        <f>$D$143*LOG(C143/$D$137)+$J$148</f>
        <v>87.278840512762542</v>
      </c>
      <c r="K143" s="179">
        <f>$D$143*LOG(C143/$D$137)+$K$148</f>
        <v>91.32292262103438</v>
      </c>
      <c r="L143" s="179">
        <f>$D$143*LOG(C143/$D$137)+$L$148</f>
        <v>77.663963997694751</v>
      </c>
      <c r="M143" s="179">
        <f>$D$143*LOG(C143/$D$137)+$M$148</f>
        <v>84.710793265987434</v>
      </c>
      <c r="N143" s="179">
        <f>$D$143*LOG(C143/$D$137)+$N$148</f>
        <v>85.506403022084996</v>
      </c>
      <c r="O143" s="11"/>
      <c r="P143" s="11"/>
      <c r="Q143" s="11"/>
      <c r="R143" s="11"/>
      <c r="S143" s="11"/>
      <c r="T143" s="11"/>
      <c r="U143" s="12"/>
      <c r="V143" s="46"/>
    </row>
    <row r="144" spans="1:22">
      <c r="A144" s="46"/>
      <c r="B144" s="142"/>
      <c r="C144" s="174">
        <v>200</v>
      </c>
      <c r="D144" s="176">
        <f t="shared" si="12"/>
        <v>37.5</v>
      </c>
      <c r="E144" s="179">
        <f>$D$144*LOG(C144/$D$137)+$E$148</f>
        <v>88.345583481053794</v>
      </c>
      <c r="F144" s="179">
        <f>$D$144*LOG(C144/$D$137)+$F$148</f>
        <v>89.843495941804207</v>
      </c>
      <c r="G144" s="179">
        <f>$D$144*LOG(C144/$D$137)+$G$148</f>
        <v>89.339966691472341</v>
      </c>
      <c r="H144" s="179">
        <f>$D$144*LOG(C144/$D$137)+$H$148</f>
        <v>89.674643691911854</v>
      </c>
      <c r="I144" s="179">
        <f>$D$144*LOG(C144/$D$137)+$I$148</f>
        <v>87.938908390986839</v>
      </c>
      <c r="J144" s="179">
        <f>$D$144*LOG(C144/$D$137)+$J$148</f>
        <v>91.161299286140277</v>
      </c>
      <c r="K144" s="179">
        <f>$D$144*LOG(C144/$D$137)+$K$148</f>
        <v>95.205381394412115</v>
      </c>
      <c r="L144" s="179">
        <f>$D$144*LOG(C144/$D$137)+$L$148</f>
        <v>81.546422771072486</v>
      </c>
      <c r="M144" s="179">
        <f>$D$144*LOG(C144/$D$137)+$M$148</f>
        <v>88.593252039365169</v>
      </c>
      <c r="N144" s="179">
        <f>$D$144*LOG(C144/$D$137)+$N$148</f>
        <v>89.388861795462731</v>
      </c>
      <c r="O144" s="11"/>
      <c r="P144" s="11"/>
      <c r="Q144" s="11"/>
      <c r="R144" s="11"/>
      <c r="S144" s="11" t="s">
        <v>86</v>
      </c>
      <c r="T144" s="11"/>
      <c r="U144" s="12"/>
      <c r="V144" s="46"/>
    </row>
    <row r="145" spans="1:22">
      <c r="A145" s="46"/>
      <c r="B145" s="142"/>
      <c r="C145" s="174">
        <v>250</v>
      </c>
      <c r="D145" s="176">
        <f t="shared" si="12"/>
        <v>40.625</v>
      </c>
      <c r="E145" s="179">
        <f>$D$145*LOG(C145/$D$137)+$E$148</f>
        <v>91.870242461973504</v>
      </c>
      <c r="F145" s="179">
        <f>$D$145*LOG(C145/$D$137)+$F$148</f>
        <v>93.368154922723917</v>
      </c>
      <c r="G145" s="179">
        <f>$D$145*LOG(C145/$D$137)+$G$148</f>
        <v>92.864625672392052</v>
      </c>
      <c r="H145" s="179">
        <f>$D$145*LOG(C145/$D$137)+$H$148</f>
        <v>93.199302672831564</v>
      </c>
      <c r="I145" s="179">
        <f>$D$145*LOG(C145/$D$137)+$I$148</f>
        <v>91.463567371906549</v>
      </c>
      <c r="J145" s="179">
        <f>$D$145*LOG(C145/$D$137)+$J$148</f>
        <v>94.685958267059988</v>
      </c>
      <c r="K145" s="179">
        <f>$D$145*LOG(C145/$D$137)+$K$148</f>
        <v>98.730040375331825</v>
      </c>
      <c r="L145" s="179">
        <f>$D$145*LOG(C145/$D$137)+$L$148</f>
        <v>85.071081751992196</v>
      </c>
      <c r="M145" s="179">
        <f>$D$145*LOG(C145/$D$137)+$M$148</f>
        <v>92.117911020284879</v>
      </c>
      <c r="N145" s="179">
        <f>$D$145*LOG(C145/$D$137)+$N$148</f>
        <v>92.913520776382441</v>
      </c>
      <c r="O145" s="11"/>
      <c r="P145" s="11"/>
      <c r="Q145" s="11"/>
      <c r="R145" s="11"/>
      <c r="S145" s="11"/>
      <c r="T145" s="11"/>
      <c r="U145" s="12"/>
      <c r="V145" s="46"/>
    </row>
    <row r="146" spans="1:22">
      <c r="A146" s="46"/>
      <c r="B146" s="142"/>
      <c r="C146" s="174">
        <v>300</v>
      </c>
      <c r="D146" s="176">
        <f t="shared" si="12"/>
        <v>43.75</v>
      </c>
      <c r="E146" s="179">
        <f>$D$146*LOG(C146/$D$137)+$E$148</f>
        <v>95.224955469674697</v>
      </c>
      <c r="F146" s="179">
        <f>$D$146*LOG(C146/$D$137)+$F$148</f>
        <v>96.72286793042511</v>
      </c>
      <c r="G146" s="179">
        <f>$D$146*LOG(C146/$D$137)+$G$148</f>
        <v>96.219338680093244</v>
      </c>
      <c r="H146" s="179">
        <f>$D$146*LOG(C146/$D$137)+$H$148</f>
        <v>96.554015680532757</v>
      </c>
      <c r="I146" s="179">
        <f>$D$146*LOG(C146/$D$137)+$I$148</f>
        <v>94.818280379607742</v>
      </c>
      <c r="J146" s="179">
        <f>$D$146*LOG(C146/$D$137)+$J$148</f>
        <v>98.040671274761181</v>
      </c>
      <c r="K146" s="179">
        <f>$D$146*LOG(C146/$D$137)+$K$148</f>
        <v>102.08475338303302</v>
      </c>
      <c r="L146" s="179">
        <f>$D$146*LOG(C146/$D$137)+$L$148</f>
        <v>88.425794759693389</v>
      </c>
      <c r="M146" s="179">
        <f>$D$146*LOG(C146/$D$137)+$M$148</f>
        <v>95.472624027986072</v>
      </c>
      <c r="N146" s="179">
        <f>$D$146*LOG(C146/$D$137)+$N$148</f>
        <v>96.268233784083634</v>
      </c>
      <c r="O146" s="11"/>
      <c r="P146" s="11"/>
      <c r="Q146" s="11"/>
      <c r="R146" s="11"/>
      <c r="S146" s="11"/>
      <c r="T146" s="11"/>
      <c r="U146" s="12"/>
      <c r="V146" s="46"/>
    </row>
    <row r="147" spans="1:22">
      <c r="A147" s="46"/>
      <c r="B147" s="142"/>
      <c r="C147" s="174">
        <v>350</v>
      </c>
      <c r="D147" s="176">
        <f t="shared" si="12"/>
        <v>46.875</v>
      </c>
      <c r="E147" s="179">
        <f>$D$147*LOG(C147/$D$137)+$E$148</f>
        <v>98.501061120626119</v>
      </c>
      <c r="F147" s="179">
        <f>$D$147*LOG(C147/$D$137)+$F$148</f>
        <v>99.998973581376532</v>
      </c>
      <c r="G147" s="179">
        <f>$D$147*LOG(C147/$D$137)+$G$148</f>
        <v>99.495444331044666</v>
      </c>
      <c r="H147" s="179">
        <f>$D$147*LOG(C147/$D$137)+$H$148</f>
        <v>99.830121331484179</v>
      </c>
      <c r="I147" s="179">
        <f>$D$147*LOG(C147/$D$137)+$I$148</f>
        <v>98.094386030559164</v>
      </c>
      <c r="J147" s="179">
        <f>$D$147*LOG(C147/$D$137)+$J$148</f>
        <v>101.3167769257126</v>
      </c>
      <c r="K147" s="179">
        <f>$D$147*LOG(C147/$D$137)+$K$148</f>
        <v>105.36085903398444</v>
      </c>
      <c r="L147" s="179">
        <f>$D$147*LOG(C147/$D$137)+$L$148</f>
        <v>91.701900410644811</v>
      </c>
      <c r="M147" s="179">
        <f>$D$147*LOG(C147/$D$137)+$M$148</f>
        <v>98.748729678937494</v>
      </c>
      <c r="N147" s="179">
        <f>$D$147*LOG(C147/$D$137)+$N$148</f>
        <v>99.544339435035056</v>
      </c>
      <c r="O147" s="11"/>
      <c r="P147" s="11"/>
      <c r="Q147" s="11"/>
      <c r="R147" s="11"/>
      <c r="S147" s="11"/>
      <c r="T147" s="11"/>
      <c r="U147" s="12"/>
      <c r="V147" s="46"/>
    </row>
    <row r="148" spans="1:22">
      <c r="A148" s="46"/>
      <c r="B148" s="155" t="s">
        <v>385</v>
      </c>
      <c r="C148" s="174">
        <v>271</v>
      </c>
      <c r="D148" s="176">
        <f t="shared" si="12"/>
        <v>41.9375</v>
      </c>
      <c r="E148" s="179">
        <f>E124</f>
        <v>93.293307051444714</v>
      </c>
      <c r="F148" s="179">
        <f t="shared" ref="F148:N148" si="13">F124</f>
        <v>94.791219512195127</v>
      </c>
      <c r="G148" s="179">
        <f t="shared" si="13"/>
        <v>94.287690261863261</v>
      </c>
      <c r="H148" s="179">
        <f t="shared" si="13"/>
        <v>94.622367262302774</v>
      </c>
      <c r="I148" s="179">
        <f t="shared" si="13"/>
        <v>92.886631961377759</v>
      </c>
      <c r="J148" s="179">
        <f t="shared" si="13"/>
        <v>96.109022856531197</v>
      </c>
      <c r="K148" s="179">
        <f t="shared" si="13"/>
        <v>100.15310496480303</v>
      </c>
      <c r="L148" s="179">
        <f t="shared" si="13"/>
        <v>86.494146341463406</v>
      </c>
      <c r="M148" s="179">
        <f t="shared" si="13"/>
        <v>93.540975609756089</v>
      </c>
      <c r="N148" s="179">
        <f t="shared" si="13"/>
        <v>94.336585365853651</v>
      </c>
      <c r="O148" s="11"/>
      <c r="P148" s="11"/>
      <c r="Q148" s="11"/>
      <c r="R148" s="11"/>
      <c r="S148" s="11"/>
      <c r="T148" s="11"/>
      <c r="U148" s="12"/>
      <c r="V148" s="46"/>
    </row>
    <row r="149" spans="1:22">
      <c r="A149" s="46"/>
      <c r="B149" s="142"/>
      <c r="C149" s="160"/>
      <c r="D149" s="66"/>
      <c r="E149" s="109"/>
      <c r="F149" s="11"/>
      <c r="G149" s="11"/>
      <c r="H149" s="11"/>
      <c r="I149" s="11"/>
      <c r="J149" s="11"/>
      <c r="K149" s="11"/>
      <c r="L149" s="11"/>
      <c r="M149" s="11"/>
      <c r="N149" s="11"/>
      <c r="O149" s="11"/>
      <c r="P149" s="11"/>
      <c r="Q149" s="11"/>
      <c r="R149" s="11"/>
      <c r="S149" s="11"/>
      <c r="T149" s="11"/>
      <c r="U149" s="12"/>
      <c r="V149" s="46"/>
    </row>
    <row r="150" spans="1:22" ht="14.5" customHeight="1">
      <c r="A150" s="46"/>
      <c r="B150" s="142"/>
      <c r="C150" s="552"/>
      <c r="D150" s="553"/>
      <c r="E150" s="556" t="s">
        <v>411</v>
      </c>
      <c r="F150" s="501"/>
      <c r="G150" s="501"/>
      <c r="H150" s="501"/>
      <c r="I150" s="501"/>
      <c r="J150" s="454"/>
      <c r="K150" s="455"/>
      <c r="L150" s="455"/>
      <c r="M150" s="455"/>
      <c r="N150" s="457"/>
      <c r="O150" s="11"/>
      <c r="P150" s="11"/>
      <c r="Q150" s="11"/>
      <c r="R150" s="11"/>
      <c r="S150" s="11"/>
      <c r="T150" s="11"/>
      <c r="U150" s="12"/>
      <c r="V150" s="46"/>
    </row>
    <row r="151" spans="1:22" ht="43.5">
      <c r="A151" s="46"/>
      <c r="B151" s="142"/>
      <c r="C151" s="597" t="s">
        <v>266</v>
      </c>
      <c r="D151" s="405" t="s">
        <v>338</v>
      </c>
      <c r="E151" s="167" t="s">
        <v>350</v>
      </c>
      <c r="F151" s="351" t="s">
        <v>713</v>
      </c>
      <c r="G151" s="165" t="s">
        <v>351</v>
      </c>
      <c r="H151" s="165" t="s">
        <v>352</v>
      </c>
      <c r="I151" s="165" t="s">
        <v>353</v>
      </c>
      <c r="J151" s="165" t="s">
        <v>347</v>
      </c>
      <c r="K151" s="405" t="s">
        <v>348</v>
      </c>
      <c r="L151" s="405" t="s">
        <v>354</v>
      </c>
      <c r="M151" s="405" t="s">
        <v>355</v>
      </c>
      <c r="N151" s="165" t="s">
        <v>356</v>
      </c>
      <c r="O151" s="11"/>
      <c r="P151" s="11"/>
      <c r="Q151" s="11"/>
      <c r="R151" s="11"/>
      <c r="S151" s="11"/>
      <c r="T151" s="11"/>
      <c r="U151" s="12"/>
      <c r="V151" s="46"/>
    </row>
    <row r="152" spans="1:22">
      <c r="A152" s="46"/>
      <c r="B152" s="142"/>
      <c r="C152" s="174">
        <v>80</v>
      </c>
      <c r="D152" s="176">
        <f>$G$136*C152+$I$136</f>
        <v>30</v>
      </c>
      <c r="E152" s="179">
        <f>$D$152*LOG(C152/$D$137)+$E$158</f>
        <v>79.999530921384547</v>
      </c>
      <c r="F152" s="179">
        <f>$D$152*LOG(C152/$D$137)+$F$158</f>
        <v>81.539230639623696</v>
      </c>
      <c r="G152" s="179">
        <f>$D$152*LOG(C152/$D$137)+$G$158</f>
        <v>81.021654435956393</v>
      </c>
      <c r="H152" s="179">
        <f>$D$152*LOG(C152/$D$137)+$H$158</f>
        <v>81.365667919240792</v>
      </c>
      <c r="I152" s="179">
        <f>$D$152*LOG(C152/$D$137)+$I$158</f>
        <v>79.581510818075373</v>
      </c>
      <c r="J152" s="179">
        <f>$D$152*LOG(C152/$D$137)+$J$158</f>
        <v>82.893796738200905</v>
      </c>
      <c r="K152" s="179">
        <f>$D$152*LOG(C152/$D$137)+$K$158</f>
        <v>87.050696587690624</v>
      </c>
      <c r="L152" s="179">
        <f>$D$152*LOG(C152/$D$137)+$L$158</f>
        <v>73.010694054257826</v>
      </c>
      <c r="M152" s="179">
        <f>$D$152*LOG(C152/$D$137)+$M$158</f>
        <v>80.254108688404173</v>
      </c>
      <c r="N152" s="179">
        <f>$D$152*LOG(C152/$D$137)+$N$158</f>
        <v>81.071913566452949</v>
      </c>
      <c r="O152" s="11"/>
      <c r="P152" s="11"/>
      <c r="Q152" s="11"/>
      <c r="R152" s="11"/>
      <c r="S152" s="11"/>
      <c r="T152" s="11"/>
      <c r="U152" s="12"/>
      <c r="V152" s="46"/>
    </row>
    <row r="153" spans="1:22">
      <c r="A153" s="46"/>
      <c r="B153" s="142"/>
      <c r="C153" s="174">
        <v>150</v>
      </c>
      <c r="D153" s="176">
        <f t="shared" ref="D153:D158" si="14">$G$136*C153+$I$136</f>
        <v>34.375</v>
      </c>
      <c r="E153" s="179">
        <f>$D$153*LOG(C153/$D$137)+$E$158</f>
        <v>87.065727694089759</v>
      </c>
      <c r="F153" s="179">
        <f>$D$153*LOG(C153/$D$137)+$F$158</f>
        <v>88.605427412328908</v>
      </c>
      <c r="G153" s="179">
        <f>$D$153*LOG(C153/$D$137)+$G$158</f>
        <v>88.087851208661604</v>
      </c>
      <c r="H153" s="179">
        <f>$D$153*LOG(C153/$D$137)+$H$158</f>
        <v>88.431864691946004</v>
      </c>
      <c r="I153" s="179">
        <f>$D$153*LOG(C153/$D$137)+$I$158</f>
        <v>86.647707590780584</v>
      </c>
      <c r="J153" s="179">
        <f>$D$153*LOG(C153/$D$137)+$J$158</f>
        <v>89.959993510906116</v>
      </c>
      <c r="K153" s="179">
        <f>$D$153*LOG(C153/$D$137)+$K$158</f>
        <v>94.116893360395835</v>
      </c>
      <c r="L153" s="179">
        <f>$D$153*LOG(C153/$D$137)+$L$158</f>
        <v>80.076890826963037</v>
      </c>
      <c r="M153" s="179">
        <f>$D$153*LOG(C153/$D$137)+$M$158</f>
        <v>87.320305461109385</v>
      </c>
      <c r="N153" s="179">
        <f>$D$153*LOG(C153/$D$137)+$N$158</f>
        <v>88.13811033915816</v>
      </c>
      <c r="O153" s="11"/>
      <c r="P153" s="11"/>
      <c r="Q153" s="11"/>
      <c r="R153" s="11"/>
      <c r="S153" s="11"/>
      <c r="T153" s="11"/>
      <c r="U153" s="12"/>
      <c r="V153" s="46"/>
    </row>
    <row r="154" spans="1:22">
      <c r="A154" s="46"/>
      <c r="B154" s="142"/>
      <c r="C154" s="174">
        <v>200</v>
      </c>
      <c r="D154" s="176">
        <f t="shared" si="14"/>
        <v>37.5</v>
      </c>
      <c r="E154" s="179">
        <f>$D$154*LOG(C154/$D$137)+$E$158</f>
        <v>90.948186467467494</v>
      </c>
      <c r="F154" s="179">
        <f>$D$154*LOG(C154/$D$137)+$F$158</f>
        <v>92.487886185706643</v>
      </c>
      <c r="G154" s="179">
        <f>$D$154*LOG(C154/$D$137)+$G$158</f>
        <v>91.970309982039339</v>
      </c>
      <c r="H154" s="179">
        <f>$D$154*LOG(C154/$D$137)+$H$158</f>
        <v>92.314323465323739</v>
      </c>
      <c r="I154" s="179">
        <f>$D$154*LOG(C154/$D$137)+$I$158</f>
        <v>90.530166364158319</v>
      </c>
      <c r="J154" s="179">
        <f>$D$154*LOG(C154/$D$137)+$J$158</f>
        <v>93.842452284283851</v>
      </c>
      <c r="K154" s="179">
        <f>$D$154*LOG(C154/$D$137)+$K$158</f>
        <v>97.99935213377357</v>
      </c>
      <c r="L154" s="179">
        <f>$D$154*LOG(C154/$D$137)+$L$158</f>
        <v>83.959349600340772</v>
      </c>
      <c r="M154" s="179">
        <f>$D$154*LOG(C154/$D$137)+$M$158</f>
        <v>91.20276423448712</v>
      </c>
      <c r="N154" s="179">
        <f>$D$154*LOG(C154/$D$137)+$N$158</f>
        <v>92.020569112535895</v>
      </c>
      <c r="O154" s="11"/>
      <c r="P154" s="125" t="s">
        <v>428</v>
      </c>
      <c r="Q154" s="11"/>
      <c r="R154" s="11"/>
      <c r="S154" s="11"/>
      <c r="T154" s="11"/>
      <c r="U154" s="12"/>
      <c r="V154" s="46"/>
    </row>
    <row r="155" spans="1:22">
      <c r="A155" s="46"/>
      <c r="B155" s="142"/>
      <c r="C155" s="174">
        <v>250</v>
      </c>
      <c r="D155" s="176">
        <f t="shared" si="14"/>
        <v>40.625</v>
      </c>
      <c r="E155" s="179">
        <f>$D$155*LOG(C155/$D$137)+$E$158</f>
        <v>94.472845448387204</v>
      </c>
      <c r="F155" s="179">
        <f>$D$155*LOG(C155/$D$137)+$F$158</f>
        <v>96.012545166626353</v>
      </c>
      <c r="G155" s="179">
        <f>$D$155*LOG(C155/$D$137)+$G$158</f>
        <v>95.494968962959049</v>
      </c>
      <c r="H155" s="179">
        <f>$D$155*LOG(C155/$D$137)+$H$158</f>
        <v>95.838982446243449</v>
      </c>
      <c r="I155" s="179">
        <f>$D$155*LOG(C155/$D$137)+$I$158</f>
        <v>94.054825345078029</v>
      </c>
      <c r="J155" s="179">
        <f>$D$155*LOG(C155/$D$137)+$J$158</f>
        <v>97.367111265203562</v>
      </c>
      <c r="K155" s="179">
        <f>$D$155*LOG(C155/$D$137)+$K$158</f>
        <v>101.52401111469328</v>
      </c>
      <c r="L155" s="179">
        <f>$D$155*LOG(C155/$D$137)+$L$158</f>
        <v>87.484008581260483</v>
      </c>
      <c r="M155" s="179">
        <f>$D$155*LOG(C155/$D$137)+$M$158</f>
        <v>94.72742321540683</v>
      </c>
      <c r="N155" s="179">
        <f>$D$155*LOG(C155/$D$137)+$N$158</f>
        <v>95.545228093455606</v>
      </c>
      <c r="O155" s="11"/>
      <c r="P155" s="125" t="s">
        <v>429</v>
      </c>
      <c r="Q155" s="11"/>
      <c r="R155" s="11"/>
      <c r="S155" s="11"/>
      <c r="T155" s="11"/>
      <c r="U155" s="12"/>
      <c r="V155" s="46"/>
    </row>
    <row r="156" spans="1:22">
      <c r="A156" s="46"/>
      <c r="B156" s="142"/>
      <c r="C156" s="174">
        <v>300</v>
      </c>
      <c r="D156" s="176">
        <f t="shared" si="14"/>
        <v>43.75</v>
      </c>
      <c r="E156" s="179">
        <f>$D$156*LOG(C156/$D$137)+$E$158</f>
        <v>97.827558456088397</v>
      </c>
      <c r="F156" s="179">
        <f>$D$156*LOG(C156/$D$137)+$F$158</f>
        <v>99.367258174327546</v>
      </c>
      <c r="G156" s="179">
        <f>$D$156*LOG(C156/$D$137)+$G$158</f>
        <v>98.849681970660242</v>
      </c>
      <c r="H156" s="179">
        <f>$D$156*LOG(C156/$D$137)+$H$158</f>
        <v>99.193695453944642</v>
      </c>
      <c r="I156" s="179">
        <f>$D$156*LOG(C156/$D$137)+$I$158</f>
        <v>97.409538352779222</v>
      </c>
      <c r="J156" s="179">
        <f>$D$156*LOG(C156/$D$137)+$J$158</f>
        <v>100.72182427290475</v>
      </c>
      <c r="K156" s="179">
        <f>$D$156*LOG(C156/$D$137)+$K$158</f>
        <v>104.87872412239447</v>
      </c>
      <c r="L156" s="179">
        <f>$D$156*LOG(C156/$D$137)+$L$158</f>
        <v>90.838721588961675</v>
      </c>
      <c r="M156" s="179">
        <f>$D$156*LOG(C156/$D$137)+$M$158</f>
        <v>98.082136223108023</v>
      </c>
      <c r="N156" s="179">
        <f>$D$156*LOG(C156/$D$137)+$N$158</f>
        <v>98.899941101156799</v>
      </c>
      <c r="O156" s="11"/>
      <c r="P156" s="11" t="s">
        <v>430</v>
      </c>
      <c r="Q156" s="11"/>
      <c r="R156" s="11"/>
      <c r="S156" s="11"/>
      <c r="T156" s="11"/>
      <c r="U156" s="12"/>
      <c r="V156" s="46"/>
    </row>
    <row r="157" spans="1:22">
      <c r="A157" s="46"/>
      <c r="B157" s="142"/>
      <c r="C157" s="174">
        <v>350</v>
      </c>
      <c r="D157" s="176">
        <f t="shared" si="14"/>
        <v>46.875</v>
      </c>
      <c r="E157" s="179">
        <f>$D$157*LOG(C157/$D$137)+$E$158</f>
        <v>101.10366410703982</v>
      </c>
      <c r="F157" s="179">
        <f>$D$147*LOG(C157/$D$137)+$F$158</f>
        <v>102.64336382527897</v>
      </c>
      <c r="G157" s="179">
        <f>$D$147*LOG(C157/$D$137)+$G$158</f>
        <v>102.12578762161166</v>
      </c>
      <c r="H157" s="179">
        <f>$D$147*LOG(C157/$D$137)+$H$158</f>
        <v>102.46980110489606</v>
      </c>
      <c r="I157" s="179">
        <f>$D$147*LOG(C157/$D$137)+$I$158</f>
        <v>100.68564400373064</v>
      </c>
      <c r="J157" s="179">
        <f>$D$147*LOG(C157/$D$137)+$J$158</f>
        <v>103.99792992385618</v>
      </c>
      <c r="K157" s="179">
        <f>$D$147*LOG(C157/$D$137)+$K$158</f>
        <v>108.1548297733459</v>
      </c>
      <c r="L157" s="179">
        <f>$D$147*LOG(C157/$D$137)+$L$158</f>
        <v>94.114827239913097</v>
      </c>
      <c r="M157" s="179">
        <f>$D$147*LOG(C157/$D$137)+$M$158</f>
        <v>101.35824187405944</v>
      </c>
      <c r="N157" s="179">
        <f>$D$147*LOG(C157/$D$137)+$N$158</f>
        <v>102.17604675210822</v>
      </c>
      <c r="O157" s="11"/>
      <c r="P157" s="11"/>
      <c r="Q157" s="11"/>
      <c r="R157" s="15" t="s">
        <v>435</v>
      </c>
      <c r="S157" s="11"/>
      <c r="T157" s="11"/>
      <c r="U157" s="12"/>
      <c r="V157" s="46"/>
    </row>
    <row r="158" spans="1:22">
      <c r="A158" s="46"/>
      <c r="B158" s="155" t="s">
        <v>385</v>
      </c>
      <c r="C158" s="174">
        <v>271</v>
      </c>
      <c r="D158" s="176">
        <f t="shared" si="14"/>
        <v>41.9375</v>
      </c>
      <c r="E158" s="179">
        <f>E125</f>
        <v>95.895910037858414</v>
      </c>
      <c r="F158" s="179">
        <f t="shared" ref="F158:N158" si="15">F125</f>
        <v>97.435609756097563</v>
      </c>
      <c r="G158" s="179">
        <f t="shared" si="15"/>
        <v>96.918033552430259</v>
      </c>
      <c r="H158" s="179">
        <f t="shared" si="15"/>
        <v>97.262047035714659</v>
      </c>
      <c r="I158" s="179">
        <f t="shared" si="15"/>
        <v>95.477889934549239</v>
      </c>
      <c r="J158" s="179">
        <f t="shared" si="15"/>
        <v>98.790175854674771</v>
      </c>
      <c r="K158" s="179">
        <f t="shared" si="15"/>
        <v>102.94707570416449</v>
      </c>
      <c r="L158" s="179">
        <f t="shared" si="15"/>
        <v>88.907073170731692</v>
      </c>
      <c r="M158" s="179">
        <f t="shared" si="15"/>
        <v>96.15048780487804</v>
      </c>
      <c r="N158" s="179">
        <f t="shared" si="15"/>
        <v>96.968292682926815</v>
      </c>
      <c r="O158" s="11"/>
      <c r="P158" s="11"/>
      <c r="Q158" s="11"/>
      <c r="R158" s="11"/>
      <c r="S158" s="11"/>
      <c r="T158" s="11"/>
      <c r="U158" s="12"/>
      <c r="V158" s="46"/>
    </row>
    <row r="159" spans="1:22">
      <c r="A159" s="46"/>
      <c r="B159" s="142"/>
      <c r="C159" s="160"/>
      <c r="D159" s="66"/>
      <c r="E159" s="109"/>
      <c r="F159" s="11"/>
      <c r="G159" s="11"/>
      <c r="H159" s="11"/>
      <c r="I159" s="11"/>
      <c r="J159" s="11"/>
      <c r="K159" s="11"/>
      <c r="L159" s="11"/>
      <c r="M159" s="11"/>
      <c r="N159" s="11"/>
      <c r="O159" s="11"/>
      <c r="P159" s="11"/>
      <c r="Q159" s="11"/>
      <c r="R159" s="11"/>
      <c r="S159" s="11"/>
      <c r="T159" s="11"/>
      <c r="U159" s="12"/>
      <c r="V159" s="46"/>
    </row>
    <row r="160" spans="1:22" ht="14.5" customHeight="1">
      <c r="A160" s="46"/>
      <c r="B160" s="142"/>
      <c r="C160" s="552"/>
      <c r="D160" s="553"/>
      <c r="E160" s="556" t="s">
        <v>359</v>
      </c>
      <c r="F160" s="501"/>
      <c r="G160" s="501"/>
      <c r="H160" s="501"/>
      <c r="I160" s="501"/>
      <c r="J160" s="501"/>
      <c r="K160" s="454"/>
      <c r="L160" s="455"/>
      <c r="M160" s="455"/>
      <c r="N160" s="457"/>
      <c r="O160" s="11"/>
      <c r="P160" s="11"/>
      <c r="Q160" s="11"/>
      <c r="R160" s="11"/>
      <c r="S160" s="11"/>
      <c r="T160" s="11"/>
      <c r="U160" s="12"/>
      <c r="V160" s="46"/>
    </row>
    <row r="161" spans="1:23" ht="43.5">
      <c r="A161" s="46"/>
      <c r="B161" s="142"/>
      <c r="C161" s="597" t="s">
        <v>266</v>
      </c>
      <c r="D161" s="405" t="s">
        <v>338</v>
      </c>
      <c r="E161" s="167" t="s">
        <v>350</v>
      </c>
      <c r="F161" s="351" t="s">
        <v>713</v>
      </c>
      <c r="G161" s="165" t="s">
        <v>351</v>
      </c>
      <c r="H161" s="165" t="s">
        <v>352</v>
      </c>
      <c r="I161" s="165" t="s">
        <v>353</v>
      </c>
      <c r="J161" s="165" t="s">
        <v>347</v>
      </c>
      <c r="K161" s="165" t="s">
        <v>348</v>
      </c>
      <c r="L161" s="405" t="s">
        <v>354</v>
      </c>
      <c r="M161" s="405" t="s">
        <v>355</v>
      </c>
      <c r="N161" s="165" t="s">
        <v>356</v>
      </c>
      <c r="O161" s="11"/>
      <c r="P161" s="11"/>
      <c r="Q161" s="11"/>
      <c r="R161" s="11"/>
      <c r="S161" s="11"/>
      <c r="T161" s="11"/>
      <c r="U161" s="12"/>
      <c r="V161" s="46"/>
    </row>
    <row r="162" spans="1:23">
      <c r="A162" s="46"/>
      <c r="B162" s="142"/>
      <c r="C162" s="174">
        <v>80</v>
      </c>
      <c r="D162" s="176">
        <f>$G$136*C162+$I$136</f>
        <v>30</v>
      </c>
      <c r="E162" s="179">
        <f>$D$162*LOG(C162/$D$137)+$E$168</f>
        <v>66.185715070419548</v>
      </c>
      <c r="F162" s="179">
        <f>$D$162*LOG(C162/$D$137)+$F$168</f>
        <v>67.503620883526139</v>
      </c>
      <c r="G162" s="179">
        <f>$D$162*LOG(C162/$D$137)+$G$168</f>
        <v>67.06060158602385</v>
      </c>
      <c r="H162" s="179">
        <f>$D$162*LOG(C162/$D$137)+$H$168</f>
        <v>67.355059891131575</v>
      </c>
      <c r="I162" s="179">
        <f>$D$162*LOG(C162/$D$137)+$I$168</f>
        <v>65.827910806626733</v>
      </c>
      <c r="J162" s="179">
        <f>$D$162*LOG(C162/$D$137)+$J$168</f>
        <v>68.663061594208088</v>
      </c>
      <c r="K162" s="179">
        <f>$D$162*LOG(C162/$D$137)+$K$168</f>
        <v>72.221159586464424</v>
      </c>
      <c r="L162" s="179">
        <f>$D$162*LOG(C162/$D$137)+$L$168</f>
        <v>60.203620883526128</v>
      </c>
      <c r="M162" s="179">
        <f>$D$162*LOG(C162/$D$137)+$M$168</f>
        <v>66.403620883526131</v>
      </c>
      <c r="N162" s="179">
        <f>$D$162*LOG(C162/$D$137)+$N$168</f>
        <v>67.103620883526133</v>
      </c>
      <c r="O162" s="11"/>
      <c r="P162" s="11"/>
      <c r="Q162" s="11"/>
      <c r="R162" s="11"/>
      <c r="S162" s="11"/>
      <c r="T162" s="11"/>
      <c r="U162" s="12"/>
      <c r="V162" s="46"/>
    </row>
    <row r="163" spans="1:23">
      <c r="A163" s="46"/>
      <c r="B163" s="142"/>
      <c r="C163" s="174">
        <v>150</v>
      </c>
      <c r="D163" s="176">
        <f t="shared" ref="D163:D168" si="16">$G$136*C163+$I$136</f>
        <v>34.375</v>
      </c>
      <c r="E163" s="179">
        <f>$D$163*LOG(C163/$D$137)+$E$168</f>
        <v>73.251911843124759</v>
      </c>
      <c r="F163" s="179">
        <f>$D$163*LOG(C163/$D$137)+$F$168</f>
        <v>74.569817656231351</v>
      </c>
      <c r="G163" s="179">
        <f>$D$163*LOG(C163/$D$137)+$G$168</f>
        <v>74.126798358729062</v>
      </c>
      <c r="H163" s="179">
        <f>$D$163*LOG(C163/$D$137)+$H$168</f>
        <v>74.421256663836786</v>
      </c>
      <c r="I163" s="179">
        <f>$D$163*LOG(C163/$D$137)+$I$168</f>
        <v>72.894107579331944</v>
      </c>
      <c r="J163" s="179">
        <f>$D$163*LOG(C163/$D$137)+$J$168</f>
        <v>75.729258366913299</v>
      </c>
      <c r="K163" s="179">
        <f>$D$163*LOG(C163/$D$137)+$K$168</f>
        <v>79.287356359169635</v>
      </c>
      <c r="L163" s="179">
        <f>$D$163*LOG(C163/$D$137)+$L$168</f>
        <v>67.269817656231339</v>
      </c>
      <c r="M163" s="179">
        <f>$D$163*LOG(C163/$D$137)+$M$168</f>
        <v>73.469817656231342</v>
      </c>
      <c r="N163" s="179">
        <f>$D$163*LOG(C163/$D$137)+$N$168</f>
        <v>74.169817656231345</v>
      </c>
      <c r="O163" s="11"/>
      <c r="P163" s="11"/>
      <c r="Q163" s="11"/>
      <c r="R163" s="11"/>
      <c r="S163" s="11"/>
      <c r="T163" s="11"/>
      <c r="U163" s="12"/>
      <c r="V163" s="46"/>
    </row>
    <row r="164" spans="1:23">
      <c r="A164" s="46"/>
      <c r="B164" s="142"/>
      <c r="C164" s="174">
        <v>200</v>
      </c>
      <c r="D164" s="176">
        <f t="shared" si="16"/>
        <v>37.5</v>
      </c>
      <c r="E164" s="179">
        <f>$D$164*LOG(C164/$D$137)+$E$168</f>
        <v>77.134370616502494</v>
      </c>
      <c r="F164" s="179">
        <f>$D$164*LOG(C164/$D$137)+$F$168</f>
        <v>78.452276429609086</v>
      </c>
      <c r="G164" s="179">
        <f>$D$164*LOG(C164/$D$137)+$G$168</f>
        <v>78.009257132106796</v>
      </c>
      <c r="H164" s="179">
        <f>$D$164*LOG(C164/$D$137)+$H$168</f>
        <v>78.303715437214521</v>
      </c>
      <c r="I164" s="179">
        <f>$D$164*LOG(C164/$D$137)+$I$168</f>
        <v>76.776566352709679</v>
      </c>
      <c r="J164" s="179">
        <f>$D$164*LOG(C164/$D$137)+$J$168</f>
        <v>79.611717140291034</v>
      </c>
      <c r="K164" s="179">
        <f>$D$164*LOG(C164/$D$137)+$K$168</f>
        <v>83.16981513254737</v>
      </c>
      <c r="L164" s="179">
        <f>$D$164*LOG(C164/$D$137)+$L$168</f>
        <v>71.152276429609074</v>
      </c>
      <c r="M164" s="179">
        <f>$D$164*LOG(C164/$D$137)+$M$168</f>
        <v>77.352276429609077</v>
      </c>
      <c r="N164" s="179">
        <f>$D$164*LOG(C164/$D$137)+$N$168</f>
        <v>78.05227642960908</v>
      </c>
      <c r="O164" s="11"/>
      <c r="P164" s="11"/>
      <c r="Q164" s="11"/>
      <c r="R164" s="11"/>
      <c r="S164" s="11"/>
      <c r="T164" s="11"/>
      <c r="U164" s="12"/>
      <c r="V164" s="46"/>
    </row>
    <row r="165" spans="1:23">
      <c r="A165" s="46"/>
      <c r="B165" s="142"/>
      <c r="C165" s="174">
        <v>250</v>
      </c>
      <c r="D165" s="176">
        <f t="shared" si="16"/>
        <v>40.625</v>
      </c>
      <c r="E165" s="179">
        <f>$D$165*LOG(C165/$D$137)+$E$168</f>
        <v>80.659029597422204</v>
      </c>
      <c r="F165" s="179">
        <f>$D$165*LOG(C165/$D$137)+$F$168</f>
        <v>81.976935410528796</v>
      </c>
      <c r="G165" s="179">
        <f>$D$165*LOG(C165/$D$137)+$G$168</f>
        <v>81.533916113026507</v>
      </c>
      <c r="H165" s="179">
        <f>$D$165*LOG(C165/$D$137)+$H$168</f>
        <v>81.828374418134231</v>
      </c>
      <c r="I165" s="179">
        <f>$D$165*LOG(C165/$D$137)+$I$168</f>
        <v>80.30122533362939</v>
      </c>
      <c r="J165" s="179">
        <f>$D$165*LOG(C165/$D$137)+$J$168</f>
        <v>83.136376121210745</v>
      </c>
      <c r="K165" s="179">
        <f>$D$165*LOG(C165/$D$137)+$K$168</f>
        <v>86.694474113467081</v>
      </c>
      <c r="L165" s="179">
        <f>$D$165*LOG(C165/$D$137)+$L$168</f>
        <v>74.676935410528785</v>
      </c>
      <c r="M165" s="179">
        <f>$D$165*LOG(C165/$D$137)+$M$168</f>
        <v>80.876935410528787</v>
      </c>
      <c r="N165" s="179">
        <f>$D$165*LOG(C165/$D$137)+$N$168</f>
        <v>81.57693541052879</v>
      </c>
      <c r="O165" s="11"/>
      <c r="P165" s="11"/>
      <c r="Q165" s="11"/>
      <c r="R165" s="11"/>
      <c r="S165" s="11"/>
      <c r="T165" s="11"/>
      <c r="U165" s="12"/>
      <c r="V165" s="46"/>
    </row>
    <row r="166" spans="1:23">
      <c r="A166" s="46"/>
      <c r="B166" s="142"/>
      <c r="C166" s="174">
        <v>300</v>
      </c>
      <c r="D166" s="176">
        <f t="shared" si="16"/>
        <v>43.75</v>
      </c>
      <c r="E166" s="179">
        <f>$D$166*LOG(C166/$D$137)+$E$168</f>
        <v>84.013742605123397</v>
      </c>
      <c r="F166" s="179">
        <f>$D$166*LOG(C166/$D$137)+$F$168</f>
        <v>85.331648418229989</v>
      </c>
      <c r="G166" s="179">
        <f>$D$166*LOG(C166/$D$137)+$G$168</f>
        <v>84.8886291207277</v>
      </c>
      <c r="H166" s="179">
        <f>$D$166*LOG(C166/$D$137)+$H$168</f>
        <v>85.183087425835424</v>
      </c>
      <c r="I166" s="179">
        <f>$D$166*LOG(C166/$D$137)+$I$168</f>
        <v>83.655938341330582</v>
      </c>
      <c r="J166" s="179">
        <f>$D$166*LOG(C166/$D$137)+$J$168</f>
        <v>86.491089128911938</v>
      </c>
      <c r="K166" s="179">
        <f>$D$166*LOG(C166/$D$137)+$K$168</f>
        <v>90.049187121168274</v>
      </c>
      <c r="L166" s="179">
        <f>$D$166*LOG(C166/$D$137)+$L$168</f>
        <v>78.031648418229977</v>
      </c>
      <c r="M166" s="179">
        <f>$D$166*LOG(C166/$D$137)+$M$168</f>
        <v>84.23164841822998</v>
      </c>
      <c r="N166" s="179">
        <f>$D$166*LOG(C166/$D$137)+$N$168</f>
        <v>84.931648418229983</v>
      </c>
      <c r="O166" s="11"/>
      <c r="P166" s="11"/>
      <c r="Q166" s="11"/>
      <c r="R166" s="11"/>
      <c r="S166" s="11"/>
      <c r="T166" s="11"/>
      <c r="U166" s="12"/>
      <c r="V166" s="46"/>
    </row>
    <row r="167" spans="1:23">
      <c r="A167" s="46"/>
      <c r="B167" s="142"/>
      <c r="C167" s="174">
        <v>350</v>
      </c>
      <c r="D167" s="176">
        <f t="shared" si="16"/>
        <v>46.875</v>
      </c>
      <c r="E167" s="179">
        <f>$D$167*LOG(C167/$D$137)+$E$168</f>
        <v>87.289848256074819</v>
      </c>
      <c r="F167" s="179">
        <f>$D$167*LOG(C167/$D$137)+$F$168</f>
        <v>88.607754069181411</v>
      </c>
      <c r="G167" s="179">
        <f>$D$167*LOG(C167/$D$137)+$G$168</f>
        <v>88.164734771679122</v>
      </c>
      <c r="H167" s="179">
        <f>$D$167*LOG(C167/$D$137)+$H$168</f>
        <v>88.459193076786846</v>
      </c>
      <c r="I167" s="179">
        <f>$D$167*LOG(C167/$D$137)+$I$168</f>
        <v>86.932043992282004</v>
      </c>
      <c r="J167" s="179">
        <f>$D$167*LOG(C167/$D$137)+$J$168</f>
        <v>89.76719477986336</v>
      </c>
      <c r="K167" s="179">
        <f>$D$167*LOG(C167/$D$137)+$K$168</f>
        <v>93.325292772119695</v>
      </c>
      <c r="L167" s="179">
        <f>$D$167*LOG(C167/$D$137)+$L$168</f>
        <v>81.307754069181399</v>
      </c>
      <c r="M167" s="179">
        <f>$D$167*LOG(C167/$D$137)+$M$168</f>
        <v>87.507754069181402</v>
      </c>
      <c r="N167" s="179">
        <f>$D$167*LOG(C167/$D$137)+$N$168</f>
        <v>88.207754069181405</v>
      </c>
      <c r="O167" s="11"/>
      <c r="P167" s="11"/>
      <c r="Q167" s="11"/>
      <c r="R167" s="11"/>
      <c r="S167" s="11"/>
      <c r="T167" s="11"/>
      <c r="U167" s="12"/>
      <c r="V167" s="46"/>
    </row>
    <row r="168" spans="1:23">
      <c r="A168" s="46"/>
      <c r="B168" s="155" t="s">
        <v>385</v>
      </c>
      <c r="C168" s="174">
        <v>271</v>
      </c>
      <c r="D168" s="176">
        <f t="shared" si="16"/>
        <v>41.9375</v>
      </c>
      <c r="E168" s="179">
        <f>E126</f>
        <v>82.082094186893414</v>
      </c>
      <c r="F168" s="179">
        <f t="shared" ref="F168:N168" si="17">F126</f>
        <v>83.4</v>
      </c>
      <c r="G168" s="179">
        <f t="shared" si="17"/>
        <v>82.956980702497717</v>
      </c>
      <c r="H168" s="179">
        <f t="shared" si="17"/>
        <v>83.251439007605441</v>
      </c>
      <c r="I168" s="179">
        <f t="shared" si="17"/>
        <v>81.724289923100599</v>
      </c>
      <c r="J168" s="179">
        <f t="shared" si="17"/>
        <v>84.559440710681955</v>
      </c>
      <c r="K168" s="179">
        <f t="shared" si="17"/>
        <v>88.11753870293829</v>
      </c>
      <c r="L168" s="179">
        <f t="shared" si="17"/>
        <v>76.099999999999994</v>
      </c>
      <c r="M168" s="179">
        <f t="shared" si="17"/>
        <v>82.3</v>
      </c>
      <c r="N168" s="179">
        <f t="shared" si="17"/>
        <v>83</v>
      </c>
      <c r="O168" s="11"/>
      <c r="P168" s="11"/>
      <c r="Q168" s="11"/>
      <c r="R168" s="11"/>
      <c r="S168" s="11"/>
      <c r="T168" s="11"/>
      <c r="U168" s="12"/>
      <c r="V168" s="46"/>
    </row>
    <row r="169" spans="1:23" ht="15" customHeight="1">
      <c r="A169" s="46"/>
      <c r="B169" s="10"/>
      <c r="C169" s="11"/>
      <c r="D169" s="11"/>
      <c r="E169" s="11"/>
      <c r="F169" s="11"/>
      <c r="G169" s="11"/>
      <c r="H169" s="11"/>
      <c r="I169" s="11"/>
      <c r="J169" s="11"/>
      <c r="K169" s="11"/>
      <c r="L169" s="11"/>
      <c r="M169" s="11"/>
      <c r="N169" s="11"/>
      <c r="O169" s="11"/>
      <c r="P169" s="11"/>
      <c r="Q169" s="11"/>
      <c r="R169" s="11"/>
      <c r="S169" s="11"/>
      <c r="T169" s="11"/>
      <c r="U169" s="12"/>
      <c r="V169" s="46"/>
    </row>
    <row r="170" spans="1:23" ht="14.5" customHeight="1">
      <c r="A170" s="46"/>
      <c r="B170" s="10"/>
      <c r="C170" s="552"/>
      <c r="D170" s="553"/>
      <c r="E170" s="556" t="s">
        <v>360</v>
      </c>
      <c r="F170" s="501"/>
      <c r="G170" s="501"/>
      <c r="H170" s="501"/>
      <c r="I170" s="501"/>
      <c r="J170" s="454"/>
      <c r="K170" s="455"/>
      <c r="L170" s="455"/>
      <c r="M170" s="455"/>
      <c r="N170" s="457"/>
      <c r="O170" s="11"/>
      <c r="P170" s="11"/>
      <c r="Q170" s="11"/>
      <c r="R170" s="11"/>
      <c r="S170" s="11"/>
      <c r="T170" s="11"/>
      <c r="U170" s="12"/>
      <c r="V170" s="46"/>
    </row>
    <row r="171" spans="1:23" ht="43.5">
      <c r="A171" s="46"/>
      <c r="B171" s="10"/>
      <c r="C171" s="597" t="s">
        <v>266</v>
      </c>
      <c r="D171" s="405" t="s">
        <v>338</v>
      </c>
      <c r="E171" s="167" t="s">
        <v>350</v>
      </c>
      <c r="F171" s="351" t="s">
        <v>713</v>
      </c>
      <c r="G171" s="165" t="s">
        <v>351</v>
      </c>
      <c r="H171" s="165" t="s">
        <v>352</v>
      </c>
      <c r="I171" s="165" t="s">
        <v>353</v>
      </c>
      <c r="J171" s="165" t="s">
        <v>347</v>
      </c>
      <c r="K171" s="405" t="s">
        <v>348</v>
      </c>
      <c r="L171" s="405" t="s">
        <v>354</v>
      </c>
      <c r="M171" s="405" t="s">
        <v>355</v>
      </c>
      <c r="N171" s="165" t="s">
        <v>356</v>
      </c>
      <c r="O171" s="11"/>
      <c r="P171" s="11"/>
      <c r="Q171" s="11"/>
      <c r="R171" s="11"/>
      <c r="S171" s="11"/>
      <c r="T171" s="11"/>
      <c r="U171" s="12"/>
      <c r="V171" s="46"/>
    </row>
    <row r="172" spans="1:23">
      <c r="A172" s="46"/>
      <c r="B172" s="10"/>
      <c r="C172" s="174">
        <v>80</v>
      </c>
      <c r="D172" s="176">
        <f>$G$136*C172+$I$136</f>
        <v>30</v>
      </c>
      <c r="E172" s="179">
        <f>$D$172*LOG(C172/$D$137)+$E$178</f>
        <v>65.393902609943297</v>
      </c>
      <c r="F172" s="179">
        <f>$D$172*LOG(C172/$D$137)+$F$178</f>
        <v>66.711808423049888</v>
      </c>
      <c r="G172" s="179">
        <f>$D$172*LOG(C172/$D$137)+$G$178</f>
        <v>66.268789125547599</v>
      </c>
      <c r="H172" s="179">
        <f>$D$172*LOG(C172/$D$137)+$H$178</f>
        <v>66.563247430655323</v>
      </c>
      <c r="I172" s="179">
        <f>$D$172*LOG(C172/$D$137)+$I$178</f>
        <v>65.036098346150482</v>
      </c>
      <c r="J172" s="179">
        <f>$D$172*LOG(C172/$D$137)+$J$178</f>
        <v>67.871249133731837</v>
      </c>
      <c r="K172" s="179">
        <f>$D$172*LOG(C172/$D$137)+$K$178</f>
        <v>71.429347125988173</v>
      </c>
      <c r="L172" s="179">
        <f>$D$172*LOG(C172/$D$137)+$L$178</f>
        <v>59.411808423049877</v>
      </c>
      <c r="M172" s="179">
        <f>$D$172*LOG(C172/$D$137)+$M$178</f>
        <v>65.611808423049879</v>
      </c>
      <c r="N172" s="179">
        <f>$D$172*LOG(C172/$D$137)+$N$178</f>
        <v>66.311808423049882</v>
      </c>
      <c r="O172" s="11"/>
      <c r="P172" s="11"/>
      <c r="Q172" s="11"/>
      <c r="R172" s="11"/>
      <c r="S172" s="11"/>
      <c r="T172" s="11"/>
      <c r="U172" s="12"/>
      <c r="V172" s="46"/>
    </row>
    <row r="173" spans="1:23">
      <c r="A173" s="46"/>
      <c r="B173" s="10"/>
      <c r="C173" s="174">
        <v>150</v>
      </c>
      <c r="D173" s="176">
        <f t="shared" ref="D173:D178" si="18">$G$136*C173+$I$136</f>
        <v>34.375</v>
      </c>
      <c r="E173" s="179">
        <f>$D$173*LOG(C173/$D$137)+$E$178</f>
        <v>72.460099382648508</v>
      </c>
      <c r="F173" s="179">
        <f>$D$173*LOG(C173/$D$137)+$F$178</f>
        <v>73.7780051957551</v>
      </c>
      <c r="G173" s="179">
        <f>$D$173*LOG(C173/$D$137)+$G$178</f>
        <v>73.33498589825281</v>
      </c>
      <c r="H173" s="179">
        <f>$D$173*LOG(C173/$D$137)+$H$178</f>
        <v>73.629444203360535</v>
      </c>
      <c r="I173" s="179">
        <f>$D$173*LOG(C173/$D$137)+$I$178</f>
        <v>72.102295118855693</v>
      </c>
      <c r="J173" s="179">
        <f>$D$173*LOG(C173/$D$137)+$J$178</f>
        <v>74.937445906437048</v>
      </c>
      <c r="K173" s="179">
        <f>$D$173*LOG(C173/$D$137)+$K$178</f>
        <v>78.495543898693384</v>
      </c>
      <c r="L173" s="179">
        <f>$D$173*LOG(C173/$D$137)+$L$178</f>
        <v>66.478005195755088</v>
      </c>
      <c r="M173" s="179">
        <f>$D$173*LOG(C173/$D$137)+$M$178</f>
        <v>72.678005195755091</v>
      </c>
      <c r="N173" s="179">
        <f>$D$173*LOG(C173/$D$137)+$N$178</f>
        <v>73.378005195755094</v>
      </c>
      <c r="O173" s="11"/>
      <c r="P173" s="11"/>
      <c r="Q173" s="11"/>
      <c r="R173" s="11"/>
      <c r="S173" s="11"/>
      <c r="T173" s="11"/>
      <c r="U173" s="12"/>
      <c r="V173" s="46"/>
    </row>
    <row r="174" spans="1:23">
      <c r="A174" s="46"/>
      <c r="B174" s="10"/>
      <c r="C174" s="174">
        <v>200</v>
      </c>
      <c r="D174" s="176">
        <f t="shared" si="18"/>
        <v>37.5</v>
      </c>
      <c r="E174" s="179">
        <f>$D$174*LOG(C174/$D$137)+$E$178</f>
        <v>76.342558156026243</v>
      </c>
      <c r="F174" s="179">
        <f>$D$174*LOG(C174/$D$137)+$F$178</f>
        <v>77.660463969132834</v>
      </c>
      <c r="G174" s="179">
        <f>$D$174*LOG(C174/$D$137)+$G$178</f>
        <v>77.217444671630545</v>
      </c>
      <c r="H174" s="179">
        <f>$D$174*LOG(C174/$D$137)+$H$178</f>
        <v>77.51190297673827</v>
      </c>
      <c r="I174" s="179">
        <f>$D$174*LOG(C174/$D$137)+$I$178</f>
        <v>75.984753892233428</v>
      </c>
      <c r="J174" s="179">
        <f>$D$174*LOG(C174/$D$137)+$J$178</f>
        <v>78.819904679814783</v>
      </c>
      <c r="K174" s="179">
        <f>$D$174*LOG(C174/$D$137)+$K$178</f>
        <v>82.378002672071119</v>
      </c>
      <c r="L174" s="179">
        <f>$D$174*LOG(C174/$D$137)+$L$178</f>
        <v>70.360463969132823</v>
      </c>
      <c r="M174" s="179">
        <f>$D$174*LOG(C174/$D$137)+$M$178</f>
        <v>76.560463969132826</v>
      </c>
      <c r="N174" s="179">
        <f>$D$174*LOG(C174/$D$137)+$N$178</f>
        <v>77.260463969132829</v>
      </c>
      <c r="O174" s="11"/>
      <c r="P174" s="11"/>
      <c r="Q174" s="11"/>
      <c r="R174" s="11"/>
      <c r="S174" s="11"/>
      <c r="T174" s="11"/>
      <c r="U174" s="12"/>
      <c r="V174" s="46"/>
      <c r="W174" s="46"/>
    </row>
    <row r="175" spans="1:23">
      <c r="A175" s="46"/>
      <c r="B175" s="10"/>
      <c r="C175" s="174">
        <v>250</v>
      </c>
      <c r="D175" s="176">
        <f t="shared" si="18"/>
        <v>40.625</v>
      </c>
      <c r="E175" s="179">
        <f>$D$175*LOG(C175/$D$137)+$E$178</f>
        <v>79.867217136945953</v>
      </c>
      <c r="F175" s="179">
        <f>$D$175*LOG(C175/$D$137)+$F$178</f>
        <v>81.185122950052545</v>
      </c>
      <c r="G175" s="179">
        <f>$D$175*LOG(C175/$D$137)+$G$178</f>
        <v>80.742103652550256</v>
      </c>
      <c r="H175" s="179">
        <f>$D$175*LOG(C175/$D$137)+$H$178</f>
        <v>81.03656195765798</v>
      </c>
      <c r="I175" s="179">
        <f>$D$175*LOG(C175/$D$137)+$I$178</f>
        <v>79.509412873153138</v>
      </c>
      <c r="J175" s="179">
        <f>$D$175*LOG(C175/$D$137)+$J$178</f>
        <v>82.344563660734494</v>
      </c>
      <c r="K175" s="179">
        <f>$D$175*LOG(C175/$D$137)+$K$178</f>
        <v>85.90266165299083</v>
      </c>
      <c r="L175" s="179">
        <f>$D$175*LOG(C175/$D$137)+$L$178</f>
        <v>73.885122950052533</v>
      </c>
      <c r="M175" s="179">
        <f>$D$175*LOG(C175/$D$137)+$M$178</f>
        <v>80.085122950052536</v>
      </c>
      <c r="N175" s="179">
        <f>$D$175*LOG(C175/$D$137)+$N$178</f>
        <v>80.785122950052539</v>
      </c>
      <c r="O175" s="11"/>
      <c r="P175" s="11"/>
      <c r="Q175" s="11"/>
      <c r="R175" s="11"/>
      <c r="S175" s="11"/>
      <c r="T175" s="11"/>
      <c r="U175" s="12"/>
      <c r="V175" s="46"/>
      <c r="W175" s="46"/>
    </row>
    <row r="176" spans="1:23">
      <c r="A176" s="46"/>
      <c r="B176" s="116"/>
      <c r="C176" s="174">
        <v>300</v>
      </c>
      <c r="D176" s="176">
        <f t="shared" si="18"/>
        <v>43.75</v>
      </c>
      <c r="E176" s="179">
        <f>$D$176*LOG(C176/$D$137)+$E$178</f>
        <v>83.221930144647146</v>
      </c>
      <c r="F176" s="179">
        <f>$D$176*LOG(C176/$D$137)+$F$178</f>
        <v>84.539835957753738</v>
      </c>
      <c r="G176" s="179">
        <f>$D$176*LOG(C176/$D$137)+$G$178</f>
        <v>84.096816660251449</v>
      </c>
      <c r="H176" s="179">
        <f>$D$176*LOG(C176/$D$137)+$H$178</f>
        <v>84.391274965359173</v>
      </c>
      <c r="I176" s="179">
        <f>$D$176*LOG(C176/$D$137)+$I$178</f>
        <v>82.864125880854331</v>
      </c>
      <c r="J176" s="179">
        <f>$D$176*LOG(C176/$D$137)+$J$178</f>
        <v>85.699276668435687</v>
      </c>
      <c r="K176" s="179">
        <f>$D$176*LOG(C176/$D$137)+$K$178</f>
        <v>89.257374660692022</v>
      </c>
      <c r="L176" s="179">
        <f>$D$176*LOG(C176/$D$137)+$L$178</f>
        <v>77.239835957753726</v>
      </c>
      <c r="M176" s="179">
        <f>$D$176*LOG(C176/$D$137)+$M$178</f>
        <v>83.439835957753729</v>
      </c>
      <c r="N176" s="179">
        <f>$D$176*LOG(C176/$D$137)+$N$178</f>
        <v>84.139835957753732</v>
      </c>
      <c r="O176" s="11"/>
      <c r="P176" s="11"/>
      <c r="Q176" s="11"/>
      <c r="R176" s="11"/>
      <c r="S176" s="11"/>
      <c r="T176" s="11"/>
      <c r="U176" s="12"/>
      <c r="V176" s="46"/>
      <c r="W176" s="46"/>
    </row>
    <row r="177" spans="1:22">
      <c r="A177" s="46"/>
      <c r="B177" s="116"/>
      <c r="C177" s="174">
        <v>350</v>
      </c>
      <c r="D177" s="176">
        <f t="shared" si="18"/>
        <v>46.875</v>
      </c>
      <c r="E177" s="179">
        <f>$D$177*LOG(C177/$D$137)+$E$178</f>
        <v>86.498035795598568</v>
      </c>
      <c r="F177" s="179">
        <f>$D$177*LOG(C177/$D$137)+$F$178</f>
        <v>87.81594160870516</v>
      </c>
      <c r="G177" s="179">
        <f>$D$177*LOG(C177/$D$137)+$G$178</f>
        <v>87.372922311202871</v>
      </c>
      <c r="H177" s="179">
        <f>$D$177*LOG(C177/$D$137)+$H$178</f>
        <v>87.667380616310595</v>
      </c>
      <c r="I177" s="179">
        <f>$D$177*LOG(C177/$D$137)+$I$178</f>
        <v>86.140231531805753</v>
      </c>
      <c r="J177" s="179">
        <f>$D$177*LOG(C177/$D$137)+$J$178</f>
        <v>88.975382319387109</v>
      </c>
      <c r="K177" s="179">
        <f>$D$177*LOG(C177/$D$137)+$K$178</f>
        <v>92.533480311643444</v>
      </c>
      <c r="L177" s="179">
        <f>$D$177*LOG(C177/$D$137)+$L$178</f>
        <v>80.515941608705148</v>
      </c>
      <c r="M177" s="179">
        <f>$D$177*LOG(C177/$D$137)+$M$178</f>
        <v>86.715941608705151</v>
      </c>
      <c r="N177" s="179">
        <f>$D$177*LOG(C177/$D$137)+$N$178</f>
        <v>87.415941608705154</v>
      </c>
      <c r="O177" s="11"/>
      <c r="P177" s="11"/>
      <c r="Q177" s="11"/>
      <c r="R177" s="11"/>
      <c r="S177" s="11"/>
      <c r="T177" s="11"/>
      <c r="U177" s="12"/>
      <c r="V177" s="46"/>
    </row>
    <row r="178" spans="1:22">
      <c r="A178" s="46"/>
      <c r="B178" s="155" t="s">
        <v>385</v>
      </c>
      <c r="C178" s="174">
        <v>271</v>
      </c>
      <c r="D178" s="176">
        <f t="shared" si="18"/>
        <v>41.9375</v>
      </c>
      <c r="E178" s="179">
        <f>E127</f>
        <v>81.290281726417163</v>
      </c>
      <c r="F178" s="179">
        <f t="shared" ref="F178:N178" si="19">F127</f>
        <v>82.608187539523755</v>
      </c>
      <c r="G178" s="179">
        <f t="shared" si="19"/>
        <v>82.165168242021466</v>
      </c>
      <c r="H178" s="179">
        <f t="shared" si="19"/>
        <v>82.45962654712919</v>
      </c>
      <c r="I178" s="179">
        <f t="shared" si="19"/>
        <v>80.932477462624348</v>
      </c>
      <c r="J178" s="179">
        <f t="shared" si="19"/>
        <v>83.767628250205703</v>
      </c>
      <c r="K178" s="179">
        <f t="shared" si="19"/>
        <v>87.325726242462039</v>
      </c>
      <c r="L178" s="179">
        <f t="shared" si="19"/>
        <v>75.308187539523743</v>
      </c>
      <c r="M178" s="179">
        <f t="shared" si="19"/>
        <v>81.508187539523746</v>
      </c>
      <c r="N178" s="179">
        <f t="shared" si="19"/>
        <v>82.208187539523749</v>
      </c>
      <c r="O178" s="11"/>
      <c r="P178" s="11"/>
      <c r="Q178" s="11"/>
      <c r="R178" s="11"/>
      <c r="S178" s="11"/>
      <c r="T178" s="11"/>
      <c r="U178" s="12"/>
      <c r="V178" s="46"/>
    </row>
    <row r="179" spans="1:22">
      <c r="A179" s="46"/>
      <c r="B179" s="116"/>
      <c r="C179" s="117"/>
      <c r="D179" s="184"/>
      <c r="E179" s="185"/>
      <c r="F179" s="185"/>
      <c r="G179" s="185"/>
      <c r="H179" s="185"/>
      <c r="I179" s="185"/>
      <c r="J179" s="185"/>
      <c r="K179" s="185"/>
      <c r="L179" s="185"/>
      <c r="M179" s="185"/>
      <c r="N179" s="185"/>
      <c r="O179" s="11"/>
      <c r="P179" s="11"/>
      <c r="Q179" s="11"/>
      <c r="R179" s="11"/>
      <c r="S179" s="11"/>
      <c r="T179" s="11"/>
      <c r="U179" s="12"/>
      <c r="V179" s="46"/>
    </row>
    <row r="180" spans="1:22" ht="16.5">
      <c r="A180" s="46"/>
      <c r="B180" s="116" t="s">
        <v>361</v>
      </c>
      <c r="C180" s="117"/>
      <c r="D180" s="184"/>
      <c r="E180" s="185"/>
      <c r="F180" s="185"/>
      <c r="G180" s="185"/>
      <c r="H180" s="185"/>
      <c r="I180" s="185"/>
      <c r="J180" s="185"/>
      <c r="K180" s="185"/>
      <c r="L180" s="185"/>
      <c r="M180" s="185"/>
      <c r="N180" s="185"/>
      <c r="O180" s="11"/>
      <c r="P180" s="11"/>
      <c r="Q180" s="11"/>
      <c r="R180" s="11"/>
      <c r="S180" s="11"/>
      <c r="T180" s="11"/>
      <c r="U180" s="12"/>
      <c r="V180" s="46"/>
    </row>
    <row r="181" spans="1:22">
      <c r="A181" s="46"/>
      <c r="B181" s="116" t="s">
        <v>395</v>
      </c>
      <c r="C181" s="117"/>
      <c r="D181" s="184"/>
      <c r="E181" s="185"/>
      <c r="F181" s="185"/>
      <c r="G181" s="185"/>
      <c r="H181" s="185"/>
      <c r="I181" s="185"/>
      <c r="J181" s="185"/>
      <c r="K181" s="185"/>
      <c r="L181" s="185"/>
      <c r="M181" s="185"/>
      <c r="N181" s="185"/>
      <c r="O181" s="11"/>
      <c r="P181" s="11"/>
      <c r="Q181" s="11"/>
      <c r="R181" s="11"/>
      <c r="S181" s="11"/>
      <c r="T181" s="11"/>
      <c r="U181" s="12"/>
      <c r="V181" s="46"/>
    </row>
    <row r="182" spans="1:22">
      <c r="A182" s="46"/>
      <c r="B182" s="116" t="s">
        <v>362</v>
      </c>
      <c r="C182" s="117"/>
      <c r="D182" s="184"/>
      <c r="E182" s="185"/>
      <c r="F182" s="185"/>
      <c r="G182" s="185"/>
      <c r="H182" s="185"/>
      <c r="I182" s="185"/>
      <c r="J182" s="185"/>
      <c r="K182" s="185"/>
      <c r="L182" s="185"/>
      <c r="M182" s="185"/>
      <c r="N182" s="185"/>
      <c r="O182" s="11"/>
      <c r="P182" s="11"/>
      <c r="Q182" s="11"/>
      <c r="R182" s="11"/>
      <c r="S182" s="11"/>
      <c r="T182" s="11"/>
      <c r="U182" s="12"/>
      <c r="V182" s="46"/>
    </row>
    <row r="183" spans="1:22">
      <c r="A183" s="46"/>
      <c r="B183" s="188" t="s">
        <v>406</v>
      </c>
      <c r="C183" s="76"/>
      <c r="D183" s="66"/>
      <c r="E183" s="76"/>
      <c r="F183" s="11"/>
      <c r="G183" s="11"/>
      <c r="H183" s="11"/>
      <c r="I183" s="11"/>
      <c r="J183" s="11"/>
      <c r="K183" s="11"/>
      <c r="L183" s="11"/>
      <c r="M183" s="11"/>
      <c r="N183" s="11"/>
      <c r="O183" s="11"/>
      <c r="P183" s="11"/>
      <c r="Q183" s="11"/>
      <c r="R183" s="11"/>
      <c r="S183" s="11"/>
      <c r="T183" s="11"/>
      <c r="U183" s="12"/>
      <c r="V183" s="46"/>
    </row>
    <row r="184" spans="1:22">
      <c r="A184" s="46"/>
      <c r="B184" s="116"/>
      <c r="C184" s="76"/>
      <c r="D184" s="66"/>
      <c r="E184" s="76"/>
      <c r="F184" s="11"/>
      <c r="G184" s="11"/>
      <c r="H184" s="11"/>
      <c r="I184" s="11"/>
      <c r="J184" s="11"/>
      <c r="K184" s="11"/>
      <c r="L184" s="11"/>
      <c r="M184" s="11"/>
      <c r="N184" s="11"/>
      <c r="O184" s="11"/>
      <c r="P184" s="11"/>
      <c r="Q184" s="11"/>
      <c r="R184" s="11"/>
      <c r="S184" s="11"/>
      <c r="T184" s="11"/>
      <c r="U184" s="12"/>
      <c r="V184" s="46"/>
    </row>
    <row r="185" spans="1:22" ht="16.5">
      <c r="A185" s="46"/>
      <c r="B185" s="116" t="s">
        <v>412</v>
      </c>
      <c r="C185" s="76"/>
      <c r="D185" s="66"/>
      <c r="E185" s="76"/>
      <c r="F185" s="11"/>
      <c r="G185" s="11"/>
      <c r="H185" s="11"/>
      <c r="I185" s="11"/>
      <c r="J185" s="11"/>
      <c r="K185" s="11"/>
      <c r="L185" s="11"/>
      <c r="M185" s="11"/>
      <c r="N185" s="11"/>
      <c r="O185" s="11"/>
      <c r="P185" s="11"/>
      <c r="Q185" s="11"/>
      <c r="R185" s="11"/>
      <c r="S185" s="11"/>
      <c r="T185" s="11"/>
      <c r="U185" s="12"/>
      <c r="V185" s="46"/>
    </row>
    <row r="186" spans="1:22">
      <c r="A186" s="46"/>
      <c r="B186" s="116"/>
      <c r="C186" s="11"/>
      <c r="D186" s="66"/>
      <c r="E186" s="560" t="s">
        <v>425</v>
      </c>
      <c r="F186" s="449"/>
      <c r="G186" s="449"/>
      <c r="H186" s="450"/>
      <c r="I186" s="562" t="s">
        <v>426</v>
      </c>
      <c r="J186" s="444"/>
      <c r="K186" s="445"/>
      <c r="L186" s="568" t="s">
        <v>427</v>
      </c>
      <c r="M186" s="444"/>
      <c r="N186" s="444"/>
      <c r="O186" s="444"/>
      <c r="P186" s="445"/>
      <c r="Q186" s="11"/>
      <c r="R186" s="11"/>
      <c r="S186" s="11"/>
      <c r="T186" s="11"/>
      <c r="U186" s="12"/>
      <c r="V186" s="46"/>
    </row>
    <row r="187" spans="1:22" ht="16.5">
      <c r="A187" s="46"/>
      <c r="B187" s="116"/>
      <c r="C187" s="11"/>
      <c r="D187" s="66"/>
      <c r="E187" s="158" t="s">
        <v>366</v>
      </c>
      <c r="F187" s="11"/>
      <c r="G187" s="189">
        <f>E142</f>
        <v>77.396927934970847</v>
      </c>
      <c r="H187" s="113" t="s">
        <v>28</v>
      </c>
      <c r="I187" s="11"/>
      <c r="J187" s="236">
        <f>E148-30*LOG(271/80)</f>
        <v>77.396927934970847</v>
      </c>
      <c r="K187" s="15" t="s">
        <v>28</v>
      </c>
      <c r="L187" s="11" t="s">
        <v>423</v>
      </c>
      <c r="M187" s="11"/>
      <c r="N187" s="11"/>
      <c r="O187" s="11"/>
      <c r="P187" s="11"/>
      <c r="Q187" s="11"/>
      <c r="R187" s="11"/>
      <c r="S187" s="11"/>
      <c r="T187" s="11"/>
      <c r="U187" s="12"/>
      <c r="V187" s="46"/>
    </row>
    <row r="188" spans="1:22" ht="16.5">
      <c r="A188" s="46"/>
      <c r="B188" s="116"/>
      <c r="C188" s="11"/>
      <c r="D188" s="66"/>
      <c r="E188" s="158" t="s">
        <v>367</v>
      </c>
      <c r="F188" s="11"/>
      <c r="G188" s="189">
        <f>E145</f>
        <v>91.870242461973504</v>
      </c>
      <c r="H188" s="113" t="s">
        <v>28</v>
      </c>
      <c r="I188" s="11"/>
      <c r="J188" s="236">
        <f>E148-50*LOG(271/250)</f>
        <v>91.541842941326308</v>
      </c>
      <c r="K188" s="15" t="s">
        <v>28</v>
      </c>
      <c r="L188" s="11" t="s">
        <v>424</v>
      </c>
      <c r="M188" s="11"/>
      <c r="N188" s="11"/>
      <c r="O188" s="11"/>
      <c r="P188" s="11"/>
      <c r="Q188" s="11"/>
      <c r="R188" s="11"/>
      <c r="S188" s="11"/>
      <c r="T188" s="11"/>
      <c r="U188" s="12"/>
      <c r="V188" s="46"/>
    </row>
    <row r="189" spans="1:22">
      <c r="A189" s="46"/>
      <c r="B189" s="119"/>
      <c r="C189" s="18"/>
      <c r="D189" s="137"/>
      <c r="E189" s="120"/>
      <c r="F189" s="18"/>
      <c r="G189" s="18"/>
      <c r="H189" s="18"/>
      <c r="I189" s="18"/>
      <c r="J189" s="18"/>
      <c r="K189" s="18"/>
      <c r="L189" s="18"/>
      <c r="M189" s="18"/>
      <c r="N189" s="18"/>
      <c r="O189" s="18"/>
      <c r="P189" s="18"/>
      <c r="Q189" s="18"/>
      <c r="R189" s="18"/>
      <c r="S189" s="18"/>
      <c r="T189" s="18"/>
      <c r="U189" s="19"/>
      <c r="V189" s="46"/>
    </row>
    <row r="190" spans="1:22">
      <c r="A190" s="46"/>
      <c r="B190" s="20"/>
      <c r="D190" s="6"/>
      <c r="E190" s="20"/>
      <c r="V190" s="46"/>
    </row>
    <row r="191" spans="1:22">
      <c r="B191" s="20"/>
      <c r="D191" s="6"/>
      <c r="E191" s="20"/>
      <c r="V191" s="46"/>
    </row>
    <row r="192" spans="1:22">
      <c r="B192" s="20"/>
      <c r="C192" s="39"/>
      <c r="D192" s="6"/>
      <c r="E192" s="20"/>
      <c r="V192" s="46"/>
    </row>
    <row r="193" spans="4:4">
      <c r="D193" s="4"/>
    </row>
    <row r="194" spans="4:4">
      <c r="D194" s="4"/>
    </row>
    <row r="195" spans="4:4">
      <c r="D195" s="4"/>
    </row>
  </sheetData>
  <pageMargins left="0.7" right="0.7" top="0.75" bottom="0.75" header="0.3" footer="0.3"/>
  <pageSetup scale="45" fitToHeight="3" orientation="landscape" r:id="rId1"/>
  <ignoredErrors>
    <ignoredError sqref="L91 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109"/>
  <sheetViews>
    <sheetView zoomScale="80" zoomScaleNormal="80" workbookViewId="0">
      <selection activeCell="H6" sqref="H6"/>
    </sheetView>
  </sheetViews>
  <sheetFormatPr defaultColWidth="9.1796875" defaultRowHeight="14.5"/>
  <cols>
    <col min="1" max="5" width="9.1796875" style="40"/>
    <col min="6" max="6" width="29.7265625" style="40" customWidth="1"/>
    <col min="7" max="7" width="33.453125" style="40" customWidth="1"/>
    <col min="8" max="8" width="15.1796875" style="40" customWidth="1"/>
    <col min="9" max="9" width="23.179687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15" style="40" customWidth="1"/>
    <col min="16" max="17" width="9.1796875" style="40"/>
    <col min="18" max="18" width="9.7265625" style="40" customWidth="1"/>
    <col min="19" max="16384" width="9.1796875" style="40"/>
  </cols>
  <sheetData>
    <row r="1" spans="1:21">
      <c r="A1" s="46"/>
      <c r="B1" s="7"/>
      <c r="C1" s="8"/>
      <c r="D1" s="8"/>
      <c r="E1" s="8"/>
      <c r="F1" s="8"/>
      <c r="G1" s="8"/>
      <c r="H1" s="8"/>
      <c r="I1" s="8"/>
      <c r="J1" s="8"/>
      <c r="K1" s="8"/>
      <c r="L1" s="8"/>
      <c r="M1" s="8"/>
      <c r="N1" s="8"/>
      <c r="O1" s="9"/>
      <c r="P1" s="46"/>
      <c r="Q1" s="46"/>
      <c r="R1" s="46"/>
      <c r="S1" s="46"/>
      <c r="T1" s="46"/>
      <c r="U1" s="46"/>
    </row>
    <row r="2" spans="1:21">
      <c r="A2" s="46"/>
      <c r="B2" s="10"/>
      <c r="C2" s="11"/>
      <c r="D2" s="11"/>
      <c r="E2" s="11"/>
      <c r="F2" s="11"/>
      <c r="G2" s="11"/>
      <c r="H2" s="46" t="s">
        <v>2</v>
      </c>
      <c r="I2" s="11"/>
      <c r="J2" s="11"/>
      <c r="K2" s="11"/>
      <c r="L2" s="11"/>
      <c r="M2" s="11"/>
      <c r="N2" s="11"/>
      <c r="O2" s="12"/>
      <c r="P2" s="46"/>
      <c r="Q2" s="46"/>
      <c r="R2" s="46"/>
      <c r="S2" s="46"/>
      <c r="T2" s="46"/>
      <c r="U2" s="46"/>
    </row>
    <row r="3" spans="1:21">
      <c r="A3" s="46"/>
      <c r="B3" s="10"/>
      <c r="C3" s="11"/>
      <c r="D3" s="11"/>
      <c r="E3" s="11"/>
      <c r="F3" s="11"/>
      <c r="G3" s="11"/>
      <c r="H3" s="46" t="s">
        <v>4</v>
      </c>
      <c r="I3" s="11"/>
      <c r="J3" s="11"/>
      <c r="K3" s="11"/>
      <c r="L3" s="11"/>
      <c r="M3" s="11"/>
      <c r="N3" s="11"/>
      <c r="O3" s="12"/>
      <c r="P3" s="46"/>
      <c r="Q3" s="46"/>
      <c r="R3" s="46"/>
      <c r="S3" s="46"/>
      <c r="T3" s="46"/>
      <c r="U3" s="46"/>
    </row>
    <row r="4" spans="1:21">
      <c r="A4" s="46"/>
      <c r="B4" s="10"/>
      <c r="C4" s="11"/>
      <c r="D4" s="11"/>
      <c r="E4" s="11"/>
      <c r="F4" s="11"/>
      <c r="G4" s="11"/>
      <c r="H4" s="11"/>
      <c r="I4" s="11"/>
      <c r="J4" s="11"/>
      <c r="K4" s="11"/>
      <c r="L4" s="11"/>
      <c r="M4" s="11"/>
      <c r="N4" s="11"/>
      <c r="O4" s="12"/>
      <c r="P4" s="46"/>
      <c r="Q4" s="46"/>
      <c r="R4" s="46"/>
      <c r="S4" s="46"/>
      <c r="T4" s="46"/>
      <c r="U4" s="46"/>
    </row>
    <row r="5" spans="1:21">
      <c r="A5" s="46"/>
      <c r="B5" s="10"/>
      <c r="C5" s="11"/>
      <c r="D5" s="11"/>
      <c r="E5" s="11"/>
      <c r="F5" s="11"/>
      <c r="G5" s="11"/>
      <c r="H5" s="11"/>
      <c r="I5" s="11"/>
      <c r="J5" s="11"/>
      <c r="K5" s="11"/>
      <c r="L5" s="11"/>
      <c r="M5" s="11"/>
      <c r="N5" s="11"/>
      <c r="O5" s="12"/>
      <c r="P5" s="46"/>
      <c r="Q5" s="46"/>
      <c r="R5" s="46"/>
      <c r="S5" s="46"/>
      <c r="T5" s="46"/>
      <c r="U5" s="46"/>
    </row>
    <row r="6" spans="1:21">
      <c r="A6" s="46"/>
      <c r="B6" s="10"/>
      <c r="C6" s="13" t="s">
        <v>0</v>
      </c>
      <c r="D6" s="11"/>
      <c r="E6" s="11"/>
      <c r="F6" s="11"/>
      <c r="G6" s="734" t="s">
        <v>559</v>
      </c>
      <c r="H6" s="153" t="s">
        <v>897</v>
      </c>
      <c r="J6" s="11"/>
      <c r="K6" s="11"/>
      <c r="L6" s="14" t="s">
        <v>5</v>
      </c>
      <c r="M6" s="15">
        <f>'Program Overview'!K6</f>
        <v>7</v>
      </c>
      <c r="N6" s="16">
        <f>'Program Overview'!M6</f>
        <v>43752</v>
      </c>
      <c r="O6" s="12"/>
      <c r="P6" s="46"/>
      <c r="Q6" s="46"/>
      <c r="R6" s="46"/>
      <c r="S6" s="46"/>
      <c r="T6" s="46"/>
      <c r="U6" s="46"/>
    </row>
    <row r="7" spans="1:21">
      <c r="A7" s="46"/>
      <c r="B7" s="10"/>
      <c r="C7" s="13" t="s">
        <v>1</v>
      </c>
      <c r="D7" s="11"/>
      <c r="E7" s="11"/>
      <c r="F7" s="11"/>
      <c r="G7" s="11"/>
      <c r="H7" s="11"/>
      <c r="I7" s="11"/>
      <c r="J7" s="11"/>
      <c r="K7" s="11"/>
      <c r="L7" s="11"/>
      <c r="M7" s="11"/>
      <c r="N7" s="11"/>
      <c r="O7" s="12"/>
      <c r="P7" s="46"/>
      <c r="Q7" s="46"/>
      <c r="R7" s="46"/>
      <c r="S7" s="46"/>
      <c r="T7" s="46"/>
      <c r="U7" s="46"/>
    </row>
    <row r="8" spans="1:21">
      <c r="A8" s="46"/>
      <c r="B8" s="17"/>
      <c r="C8" s="18"/>
      <c r="D8" s="18"/>
      <c r="E8" s="18"/>
      <c r="F8" s="18"/>
      <c r="G8" s="18"/>
      <c r="H8" s="18"/>
      <c r="I8" s="18"/>
      <c r="J8" s="11"/>
      <c r="K8" s="11"/>
      <c r="L8" s="11"/>
      <c r="M8" s="11"/>
      <c r="N8" s="11"/>
      <c r="O8" s="12"/>
      <c r="P8" s="46"/>
      <c r="Q8" s="46"/>
      <c r="R8" s="46"/>
      <c r="S8" s="46"/>
      <c r="T8" s="46"/>
      <c r="U8" s="46"/>
    </row>
    <row r="9" spans="1:21" ht="17.5" customHeight="1">
      <c r="A9" s="46"/>
      <c r="B9" s="37"/>
      <c r="C9" s="59" t="s">
        <v>197</v>
      </c>
      <c r="D9" s="59"/>
      <c r="E9" s="263">
        <v>6</v>
      </c>
      <c r="F9" s="59"/>
      <c r="G9" s="569" t="s">
        <v>200</v>
      </c>
      <c r="H9" s="59"/>
      <c r="I9" s="59"/>
      <c r="J9" s="610" t="s">
        <v>203</v>
      </c>
      <c r="K9" s="59"/>
      <c r="L9" s="59"/>
      <c r="M9" s="59"/>
      <c r="N9" s="59"/>
      <c r="O9" s="227"/>
      <c r="P9" s="46"/>
      <c r="Q9" s="46"/>
      <c r="R9" s="46"/>
      <c r="S9" s="46"/>
      <c r="T9" s="46"/>
      <c r="U9" s="46"/>
    </row>
    <row r="10" spans="1:21">
      <c r="A10" s="46"/>
      <c r="B10" s="38"/>
      <c r="C10" s="60" t="s">
        <v>9</v>
      </c>
      <c r="D10" s="60"/>
      <c r="E10" s="95" t="s">
        <v>560</v>
      </c>
      <c r="F10" s="60"/>
      <c r="G10" s="209"/>
      <c r="H10" s="60"/>
      <c r="I10" s="60"/>
      <c r="J10" s="209"/>
      <c r="K10" s="60"/>
      <c r="L10" s="60"/>
      <c r="M10" s="60"/>
      <c r="N10" s="60"/>
      <c r="O10" s="228"/>
      <c r="P10" s="46"/>
      <c r="Q10" s="46"/>
      <c r="R10" s="46"/>
      <c r="S10" s="46"/>
      <c r="T10" s="46"/>
      <c r="U10" s="46"/>
    </row>
    <row r="11" spans="1:21" ht="15">
      <c r="A11" s="46"/>
      <c r="B11" s="7"/>
      <c r="C11" s="8"/>
      <c r="D11" s="8"/>
      <c r="E11" s="8"/>
      <c r="F11" s="9"/>
      <c r="G11" s="67" t="s">
        <v>198</v>
      </c>
      <c r="H11" s="62"/>
      <c r="I11" s="63">
        <v>2010</v>
      </c>
      <c r="J11" s="190" t="s">
        <v>371</v>
      </c>
      <c r="K11" s="74"/>
      <c r="L11" s="73"/>
      <c r="M11" s="11"/>
      <c r="N11" s="11"/>
      <c r="O11" s="12"/>
      <c r="P11" s="46"/>
      <c r="Q11" s="46"/>
      <c r="R11" s="46"/>
      <c r="S11" s="46"/>
      <c r="T11" s="46"/>
      <c r="U11" s="46"/>
    </row>
    <row r="12" spans="1:21">
      <c r="A12" s="46"/>
      <c r="B12" s="10"/>
      <c r="C12" s="11"/>
      <c r="D12" s="11"/>
      <c r="E12" s="11"/>
      <c r="F12" s="12"/>
      <c r="G12" s="67" t="s">
        <v>199</v>
      </c>
      <c r="H12" s="62"/>
      <c r="I12" s="175" t="s">
        <v>378</v>
      </c>
      <c r="J12" s="191" t="s">
        <v>372</v>
      </c>
      <c r="K12" s="72"/>
      <c r="L12" s="73"/>
      <c r="M12" s="11"/>
      <c r="N12" s="11"/>
      <c r="O12" s="12"/>
      <c r="P12" s="46"/>
      <c r="Q12" s="46"/>
      <c r="R12" s="46"/>
      <c r="S12" s="46"/>
      <c r="T12" s="46"/>
      <c r="U12" s="46"/>
    </row>
    <row r="13" spans="1:21">
      <c r="A13" s="46"/>
      <c r="B13" s="10"/>
      <c r="C13" s="11"/>
      <c r="D13" s="11"/>
      <c r="E13" s="11"/>
      <c r="F13" s="12"/>
      <c r="G13" s="67" t="s">
        <v>12</v>
      </c>
      <c r="H13" s="9"/>
      <c r="I13" s="256" t="s">
        <v>379</v>
      </c>
      <c r="J13" s="191" t="s">
        <v>373</v>
      </c>
      <c r="K13" s="74"/>
      <c r="L13" s="73"/>
      <c r="M13" s="11"/>
      <c r="N13" s="11"/>
      <c r="O13" s="12"/>
      <c r="P13" s="46"/>
      <c r="Q13" s="46"/>
      <c r="R13" s="46"/>
      <c r="S13" s="46"/>
      <c r="T13" s="46"/>
      <c r="U13" s="46"/>
    </row>
    <row r="14" spans="1:21">
      <c r="A14" s="46"/>
      <c r="B14" s="10"/>
      <c r="C14" s="11"/>
      <c r="D14" s="11"/>
      <c r="E14" s="11"/>
      <c r="F14" s="12"/>
      <c r="G14" s="603" t="s">
        <v>201</v>
      </c>
      <c r="H14" s="449"/>
      <c r="I14" s="450"/>
      <c r="J14" s="77" t="s">
        <v>370</v>
      </c>
      <c r="K14" s="66"/>
      <c r="L14" s="76"/>
      <c r="M14" s="11"/>
      <c r="N14" s="11"/>
      <c r="O14" s="12"/>
      <c r="P14" s="46"/>
      <c r="Q14" s="46"/>
      <c r="R14" s="46"/>
      <c r="S14" s="46"/>
      <c r="T14" s="46"/>
      <c r="U14" s="46"/>
    </row>
    <row r="15" spans="1:21">
      <c r="A15" s="46"/>
      <c r="B15" s="10"/>
      <c r="C15" s="11"/>
      <c r="D15" s="11"/>
      <c r="E15" s="11"/>
      <c r="F15" s="12"/>
      <c r="G15" s="260" t="s">
        <v>29</v>
      </c>
      <c r="H15" s="405" t="s">
        <v>30</v>
      </c>
      <c r="I15" s="258" t="s">
        <v>18</v>
      </c>
      <c r="J15" s="75" t="s">
        <v>375</v>
      </c>
      <c r="K15" s="66"/>
      <c r="L15" s="76"/>
      <c r="M15" s="11"/>
      <c r="N15" s="11"/>
      <c r="O15" s="12"/>
      <c r="P15" s="46"/>
      <c r="Q15" s="46"/>
      <c r="R15" s="46"/>
      <c r="S15" s="46"/>
      <c r="T15" s="46"/>
      <c r="U15" s="46"/>
    </row>
    <row r="16" spans="1:21">
      <c r="A16" s="46"/>
      <c r="B16" s="10"/>
      <c r="C16" s="11"/>
      <c r="D16" s="11"/>
      <c r="E16" s="11"/>
      <c r="F16" s="12"/>
      <c r="G16" s="487" t="s">
        <v>202</v>
      </c>
      <c r="H16" s="487"/>
      <c r="I16" s="488"/>
      <c r="J16" s="77" t="s">
        <v>376</v>
      </c>
      <c r="K16" s="66"/>
      <c r="L16" s="76"/>
      <c r="M16" s="11"/>
      <c r="N16" s="11"/>
      <c r="O16" s="12"/>
      <c r="P16" s="46"/>
      <c r="Q16" s="46"/>
      <c r="R16" s="46"/>
      <c r="S16" s="46"/>
      <c r="T16" s="46"/>
      <c r="U16" s="46"/>
    </row>
    <row r="17" spans="1:21">
      <c r="A17" s="46"/>
      <c r="B17" s="10"/>
      <c r="C17" s="11"/>
      <c r="D17" s="11"/>
      <c r="E17" s="11"/>
      <c r="F17" s="11"/>
      <c r="G17" s="97" t="s">
        <v>14</v>
      </c>
      <c r="H17" s="61">
        <v>22.15</v>
      </c>
      <c r="I17" s="61" t="s">
        <v>15</v>
      </c>
      <c r="J17" s="77" t="s">
        <v>377</v>
      </c>
      <c r="K17" s="66"/>
      <c r="L17" s="76"/>
      <c r="M17" s="11"/>
      <c r="N17" s="11"/>
      <c r="O17" s="12"/>
      <c r="P17" s="46"/>
      <c r="Q17" s="46"/>
      <c r="R17" s="46"/>
      <c r="S17" s="46"/>
      <c r="T17" s="46"/>
      <c r="U17" s="46"/>
    </row>
    <row r="18" spans="1:21">
      <c r="A18" s="46"/>
      <c r="B18" s="10"/>
      <c r="C18" s="11"/>
      <c r="D18" s="11"/>
      <c r="E18" s="11"/>
      <c r="F18" s="11"/>
      <c r="G18" s="192" t="s">
        <v>380</v>
      </c>
      <c r="H18" s="573"/>
      <c r="I18" s="574"/>
      <c r="J18" s="77"/>
      <c r="K18" s="66"/>
      <c r="L18" s="76"/>
      <c r="M18" s="11"/>
      <c r="N18" s="11"/>
      <c r="O18" s="12"/>
      <c r="P18" s="46"/>
      <c r="Q18" s="46"/>
      <c r="R18" s="46"/>
      <c r="S18" s="46"/>
      <c r="T18" s="46"/>
      <c r="U18" s="46"/>
    </row>
    <row r="19" spans="1:21">
      <c r="A19" s="46"/>
      <c r="B19" s="10"/>
      <c r="C19" s="11"/>
      <c r="D19" s="11"/>
      <c r="E19" s="11"/>
      <c r="F19" s="11"/>
      <c r="G19" s="97" t="s">
        <v>21</v>
      </c>
      <c r="H19" s="61">
        <v>2</v>
      </c>
      <c r="I19" s="61"/>
      <c r="J19" s="77"/>
      <c r="K19" s="66"/>
      <c r="L19" s="76"/>
      <c r="M19" s="11"/>
      <c r="N19" s="11"/>
      <c r="O19" s="12"/>
      <c r="P19" s="46"/>
      <c r="Q19" s="46"/>
      <c r="R19" s="46"/>
      <c r="S19" s="46"/>
      <c r="T19" s="46"/>
      <c r="U19" s="46"/>
    </row>
    <row r="20" spans="1:21">
      <c r="A20" s="46"/>
      <c r="B20" s="10"/>
      <c r="C20" s="11"/>
      <c r="D20" s="11"/>
      <c r="E20" s="11"/>
      <c r="F20" s="11"/>
      <c r="G20" s="97" t="s">
        <v>33</v>
      </c>
      <c r="H20" s="98">
        <v>8</v>
      </c>
      <c r="I20" s="61"/>
      <c r="J20" s="46"/>
      <c r="K20" s="66"/>
      <c r="L20" s="76"/>
      <c r="M20" s="11"/>
      <c r="N20" s="11"/>
      <c r="O20" s="12"/>
      <c r="P20" s="46"/>
      <c r="Q20" s="626" t="s">
        <v>561</v>
      </c>
      <c r="R20" s="455"/>
      <c r="S20" s="455"/>
      <c r="T20" s="457"/>
      <c r="U20" s="46"/>
    </row>
    <row r="21" spans="1:21">
      <c r="A21" s="46"/>
      <c r="B21" s="17"/>
      <c r="C21" s="18"/>
      <c r="D21" s="18"/>
      <c r="E21" s="18"/>
      <c r="F21" s="18"/>
      <c r="G21" s="97" t="s">
        <v>17</v>
      </c>
      <c r="H21" s="61">
        <v>200.19</v>
      </c>
      <c r="I21" s="61" t="s">
        <v>15</v>
      </c>
      <c r="J21" s="46"/>
      <c r="K21" s="15"/>
      <c r="L21" s="11"/>
      <c r="M21" s="11"/>
      <c r="N21" s="11"/>
      <c r="O21" s="78"/>
      <c r="P21" s="46"/>
      <c r="Q21" s="373"/>
      <c r="R21" s="373"/>
      <c r="S21" s="373"/>
      <c r="T21" s="373"/>
      <c r="U21" s="46"/>
    </row>
    <row r="22" spans="1:21" ht="38.25" customHeight="1">
      <c r="A22" s="46"/>
      <c r="B22" s="495" t="s">
        <v>192</v>
      </c>
      <c r="C22" s="580" t="s">
        <v>212</v>
      </c>
      <c r="D22" s="491"/>
      <c r="E22" s="498" t="s">
        <v>26</v>
      </c>
      <c r="F22" s="578" t="s">
        <v>196</v>
      </c>
      <c r="G22" s="97" t="s">
        <v>189</v>
      </c>
      <c r="H22" s="70">
        <v>296</v>
      </c>
      <c r="I22" s="70" t="s">
        <v>19</v>
      </c>
      <c r="J22" s="412"/>
      <c r="K22" s="411"/>
      <c r="L22" s="411"/>
      <c r="M22" s="411" t="s">
        <v>207</v>
      </c>
      <c r="N22" s="411"/>
      <c r="O22" s="409"/>
      <c r="P22" s="46"/>
      <c r="Q22" s="495" t="s">
        <v>192</v>
      </c>
      <c r="R22" s="454" t="s">
        <v>562</v>
      </c>
      <c r="S22" s="453"/>
      <c r="T22" s="495" t="s">
        <v>26</v>
      </c>
      <c r="U22" s="46"/>
    </row>
    <row r="23" spans="1:21" ht="16.5">
      <c r="A23" s="46"/>
      <c r="B23" s="471"/>
      <c r="C23" s="2" t="s">
        <v>27</v>
      </c>
      <c r="D23" s="2" t="s">
        <v>28</v>
      </c>
      <c r="E23" s="490"/>
      <c r="F23" s="489"/>
      <c r="G23" s="97" t="s">
        <v>22</v>
      </c>
      <c r="H23" s="70">
        <v>1</v>
      </c>
      <c r="I23" s="99"/>
      <c r="J23" s="10" t="s">
        <v>209</v>
      </c>
      <c r="K23" s="11"/>
      <c r="L23" s="11"/>
      <c r="M23" s="11"/>
      <c r="N23" s="11"/>
      <c r="O23" s="12"/>
      <c r="P23" s="46"/>
      <c r="Q23" s="471"/>
      <c r="R23" s="295" t="s">
        <v>27</v>
      </c>
      <c r="S23" s="296" t="s">
        <v>28</v>
      </c>
      <c r="T23" s="471"/>
      <c r="U23" s="46"/>
    </row>
    <row r="24" spans="1:21" ht="15" customHeight="1">
      <c r="A24" s="46"/>
      <c r="B24" s="23">
        <v>1</v>
      </c>
      <c r="C24" s="194">
        <v>0</v>
      </c>
      <c r="D24" s="196">
        <f>S24-1.4</f>
        <v>73.899999999999991</v>
      </c>
      <c r="E24" s="193">
        <f t="shared" ref="E24:E32" si="0">0.00002*(10^(D24/20))</f>
        <v>9.9090038160958072E-2</v>
      </c>
      <c r="F24" s="58"/>
      <c r="G24" s="97" t="s">
        <v>23</v>
      </c>
      <c r="H24" s="100">
        <v>7.5</v>
      </c>
      <c r="I24" s="99" t="s">
        <v>15</v>
      </c>
      <c r="J24" s="10" t="s">
        <v>208</v>
      </c>
      <c r="K24" s="11"/>
      <c r="L24" s="11"/>
      <c r="M24" s="11"/>
      <c r="N24" s="11"/>
      <c r="O24" s="12"/>
      <c r="P24" s="46"/>
      <c r="Q24" s="23">
        <v>1</v>
      </c>
      <c r="R24" s="297">
        <v>0</v>
      </c>
      <c r="S24" s="299">
        <v>75.3</v>
      </c>
      <c r="T24" s="298">
        <f>0.00002*(10^(S24/20))</f>
        <v>0.11642064355417425</v>
      </c>
      <c r="U24" s="46"/>
    </row>
    <row r="25" spans="1:21" ht="15" customHeight="1">
      <c r="A25" s="46"/>
      <c r="B25" s="23">
        <f>B24+1</f>
        <v>2</v>
      </c>
      <c r="C25" s="194">
        <v>0.05</v>
      </c>
      <c r="D25" s="196">
        <f t="shared" ref="D25:D88" si="1">S25-1.4</f>
        <v>74.599999999999994</v>
      </c>
      <c r="E25" s="193">
        <f t="shared" si="0"/>
        <v>0.10740635927405055</v>
      </c>
      <c r="F25" s="58"/>
      <c r="G25" s="97" t="s">
        <v>24</v>
      </c>
      <c r="H25" s="100">
        <v>1.2</v>
      </c>
      <c r="I25" s="99" t="s">
        <v>15</v>
      </c>
      <c r="J25" s="10" t="s">
        <v>210</v>
      </c>
      <c r="K25" s="11"/>
      <c r="L25" s="11"/>
      <c r="M25" s="11"/>
      <c r="N25" s="11"/>
      <c r="O25" s="12"/>
      <c r="P25" s="46"/>
      <c r="Q25" s="23">
        <v>2</v>
      </c>
      <c r="R25" s="297">
        <v>0.05</v>
      </c>
      <c r="S25" s="299">
        <v>76</v>
      </c>
      <c r="T25" s="298">
        <f t="shared" ref="T25:T88" si="2">0.00002*(10^(S25/20))</f>
        <v>0.12619146889603877</v>
      </c>
      <c r="U25" s="46"/>
    </row>
    <row r="26" spans="1:21" ht="15" customHeight="1">
      <c r="A26" s="46"/>
      <c r="B26" s="23">
        <f t="shared" ref="B26:B89" si="3">B25+1</f>
        <v>3</v>
      </c>
      <c r="C26" s="194">
        <v>0.1</v>
      </c>
      <c r="D26" s="196">
        <f t="shared" si="1"/>
        <v>74.599999999999994</v>
      </c>
      <c r="E26" s="193">
        <f t="shared" si="0"/>
        <v>0.10740635927405055</v>
      </c>
      <c r="F26" s="58"/>
      <c r="G26" s="97" t="s">
        <v>815</v>
      </c>
      <c r="H26" s="100">
        <v>0.05</v>
      </c>
      <c r="I26" s="99" t="s">
        <v>20</v>
      </c>
      <c r="J26" s="10"/>
      <c r="K26" s="11"/>
      <c r="L26" s="11"/>
      <c r="M26" s="11"/>
      <c r="N26" s="11"/>
      <c r="O26" s="12"/>
      <c r="P26" s="46"/>
      <c r="Q26" s="23">
        <v>3</v>
      </c>
      <c r="R26" s="297">
        <v>0.1</v>
      </c>
      <c r="S26" s="299">
        <v>76</v>
      </c>
      <c r="T26" s="298">
        <f t="shared" si="2"/>
        <v>0.12619146889603877</v>
      </c>
      <c r="U26" s="46"/>
    </row>
    <row r="27" spans="1:21" ht="15" customHeight="1">
      <c r="A27" s="46"/>
      <c r="B27" s="23">
        <f t="shared" si="3"/>
        <v>4</v>
      </c>
      <c r="C27" s="194">
        <v>0.15</v>
      </c>
      <c r="D27" s="196">
        <f t="shared" si="1"/>
        <v>75.8</v>
      </c>
      <c r="E27" s="193">
        <f t="shared" si="0"/>
        <v>0.12331900037229659</v>
      </c>
      <c r="F27" s="58"/>
      <c r="G27" s="97" t="s">
        <v>816</v>
      </c>
      <c r="H27" s="100">
        <v>85</v>
      </c>
      <c r="I27" s="99"/>
      <c r="J27" s="17"/>
      <c r="K27" s="18"/>
      <c r="L27" s="18"/>
      <c r="M27" s="18"/>
      <c r="N27" s="18"/>
      <c r="O27" s="19"/>
      <c r="P27" s="46"/>
      <c r="Q27" s="23">
        <v>4</v>
      </c>
      <c r="R27" s="297">
        <v>0.15</v>
      </c>
      <c r="S27" s="299">
        <v>77.2</v>
      </c>
      <c r="T27" s="298">
        <f t="shared" si="2"/>
        <v>0.14488719201499833</v>
      </c>
      <c r="U27" s="46"/>
    </row>
    <row r="28" spans="1:21" ht="15" customHeight="1">
      <c r="A28" s="46"/>
      <c r="B28" s="23">
        <f t="shared" si="3"/>
        <v>5</v>
      </c>
      <c r="C28" s="194">
        <v>0.2</v>
      </c>
      <c r="D28" s="196">
        <f t="shared" si="1"/>
        <v>76.199999999999989</v>
      </c>
      <c r="E28" s="193">
        <f t="shared" si="0"/>
        <v>0.12913084580693102</v>
      </c>
      <c r="F28" s="58"/>
      <c r="G28" s="79"/>
      <c r="H28" s="80"/>
      <c r="I28" s="81"/>
      <c r="J28" s="46"/>
      <c r="K28" s="46"/>
      <c r="L28" s="46"/>
      <c r="M28" s="46"/>
      <c r="N28" s="46"/>
      <c r="O28" s="46"/>
      <c r="P28" s="46"/>
      <c r="Q28" s="23">
        <v>5</v>
      </c>
      <c r="R28" s="297">
        <v>0.2</v>
      </c>
      <c r="S28" s="299">
        <v>77.599999999999994</v>
      </c>
      <c r="T28" s="298">
        <f t="shared" si="2"/>
        <v>0.1517155150058368</v>
      </c>
      <c r="U28" s="46"/>
    </row>
    <row r="29" spans="1:21" ht="15" customHeight="1">
      <c r="A29" s="46"/>
      <c r="B29" s="23">
        <f t="shared" si="3"/>
        <v>6</v>
      </c>
      <c r="C29" s="194">
        <v>0.25</v>
      </c>
      <c r="D29" s="196">
        <f t="shared" si="1"/>
        <v>77.899999999999991</v>
      </c>
      <c r="E29" s="193">
        <f t="shared" si="0"/>
        <v>0.15704712692201439</v>
      </c>
      <c r="F29" s="58"/>
      <c r="G29" s="612" t="s">
        <v>204</v>
      </c>
      <c r="H29" s="449"/>
      <c r="I29" s="449"/>
      <c r="J29" s="449"/>
      <c r="K29" s="449"/>
      <c r="L29" s="449"/>
      <c r="M29" s="449"/>
      <c r="N29" s="449"/>
      <c r="O29" s="450"/>
      <c r="P29" s="46"/>
      <c r="Q29" s="23">
        <v>6</v>
      </c>
      <c r="R29" s="297">
        <v>0.25</v>
      </c>
      <c r="S29" s="299">
        <v>79.3</v>
      </c>
      <c r="T29" s="298">
        <f t="shared" si="2"/>
        <v>0.18451428543095286</v>
      </c>
      <c r="U29" s="46"/>
    </row>
    <row r="30" spans="1:21" ht="15" customHeight="1">
      <c r="A30" s="46"/>
      <c r="B30" s="23">
        <f t="shared" si="3"/>
        <v>7</v>
      </c>
      <c r="C30" s="194">
        <v>0.3</v>
      </c>
      <c r="D30" s="196">
        <f t="shared" si="1"/>
        <v>79.099999999999994</v>
      </c>
      <c r="E30" s="193">
        <f t="shared" si="0"/>
        <v>0.18031422752119131</v>
      </c>
      <c r="F30" s="58" t="s">
        <v>190</v>
      </c>
      <c r="G30" s="82"/>
      <c r="H30" s="82"/>
      <c r="I30" s="81"/>
      <c r="J30" s="46"/>
      <c r="K30" s="46"/>
      <c r="L30" s="46"/>
      <c r="M30" s="46"/>
      <c r="N30" s="46"/>
      <c r="O30" s="46"/>
      <c r="P30" s="46"/>
      <c r="Q30" s="23">
        <v>7</v>
      </c>
      <c r="R30" s="297">
        <v>0.3</v>
      </c>
      <c r="S30" s="299">
        <v>80.5</v>
      </c>
      <c r="T30" s="298">
        <f t="shared" si="2"/>
        <v>0.21185074503545828</v>
      </c>
      <c r="U30" s="46"/>
    </row>
    <row r="31" spans="1:21" ht="15" customHeight="1">
      <c r="A31" s="46"/>
      <c r="B31" s="23">
        <f t="shared" si="3"/>
        <v>8</v>
      </c>
      <c r="C31" s="194">
        <v>0.35</v>
      </c>
      <c r="D31" s="196">
        <f t="shared" si="1"/>
        <v>80.3</v>
      </c>
      <c r="E31" s="193">
        <f t="shared" si="0"/>
        <v>0.20702843333586893</v>
      </c>
      <c r="F31" s="58"/>
      <c r="G31" s="82"/>
      <c r="H31" s="82"/>
      <c r="I31" s="81"/>
      <c r="J31" s="46"/>
      <c r="K31" s="46"/>
      <c r="L31" s="46"/>
      <c r="M31" s="46"/>
      <c r="N31" s="46"/>
      <c r="O31" s="46"/>
      <c r="P31" s="46"/>
      <c r="Q31" s="23">
        <v>8</v>
      </c>
      <c r="R31" s="297">
        <v>0.35</v>
      </c>
      <c r="S31" s="299">
        <v>81.7</v>
      </c>
      <c r="T31" s="298">
        <f t="shared" si="2"/>
        <v>0.24323720012927363</v>
      </c>
      <c r="U31" s="46"/>
    </row>
    <row r="32" spans="1:21" ht="15" customHeight="1">
      <c r="A32" s="46"/>
      <c r="B32" s="23">
        <f t="shared" si="3"/>
        <v>9</v>
      </c>
      <c r="C32" s="194">
        <v>0.4</v>
      </c>
      <c r="D32" s="196">
        <f t="shared" si="1"/>
        <v>81.099999999999994</v>
      </c>
      <c r="E32" s="193">
        <f t="shared" si="0"/>
        <v>0.22700216313446309</v>
      </c>
      <c r="F32" s="58"/>
      <c r="G32" s="82"/>
      <c r="H32" s="82"/>
      <c r="I32" s="81"/>
      <c r="J32" s="46"/>
      <c r="K32" s="46"/>
      <c r="L32" s="46"/>
      <c r="M32" s="46"/>
      <c r="N32" s="46"/>
      <c r="O32" s="46"/>
      <c r="P32" s="46"/>
      <c r="Q32" s="23">
        <v>9</v>
      </c>
      <c r="R32" s="297">
        <v>0.4</v>
      </c>
      <c r="S32" s="299">
        <v>82.5</v>
      </c>
      <c r="T32" s="298">
        <f t="shared" si="2"/>
        <v>0.26670428643266519</v>
      </c>
      <c r="U32" s="46"/>
    </row>
    <row r="33" spans="1:21" ht="15" customHeight="1">
      <c r="A33" s="46"/>
      <c r="B33" s="23">
        <f t="shared" si="3"/>
        <v>10</v>
      </c>
      <c r="C33" s="194">
        <v>0.45</v>
      </c>
      <c r="D33" s="196">
        <f t="shared" si="1"/>
        <v>83.6</v>
      </c>
      <c r="E33" s="193">
        <f>0.00002*(10^(D33/20))</f>
        <v>0.30271224968724197</v>
      </c>
      <c r="F33" s="58"/>
      <c r="G33" s="82"/>
      <c r="H33" s="82"/>
      <c r="I33" s="81"/>
      <c r="J33" s="46"/>
      <c r="K33" s="46"/>
      <c r="L33" s="46"/>
      <c r="M33" s="46"/>
      <c r="N33" s="46"/>
      <c r="O33" s="46"/>
      <c r="P33" s="46"/>
      <c r="Q33" s="23">
        <v>10</v>
      </c>
      <c r="R33" s="297">
        <v>0.45</v>
      </c>
      <c r="S33" s="299">
        <v>85</v>
      </c>
      <c r="T33" s="298">
        <f t="shared" si="2"/>
        <v>0.3556558820077847</v>
      </c>
      <c r="U33" s="46"/>
    </row>
    <row r="34" spans="1:21" ht="15" customHeight="1">
      <c r="A34" s="46"/>
      <c r="B34" s="23">
        <f t="shared" si="3"/>
        <v>11</v>
      </c>
      <c r="C34" s="194">
        <v>0.5</v>
      </c>
      <c r="D34" s="196">
        <f t="shared" si="1"/>
        <v>84.8</v>
      </c>
      <c r="E34" s="193">
        <f t="shared" ref="E34:E108" si="4">0.00002*(10^(D34/20))</f>
        <v>0.34756016574987586</v>
      </c>
      <c r="F34" s="58"/>
      <c r="G34" s="82"/>
      <c r="H34" s="82"/>
      <c r="I34" s="81"/>
      <c r="J34" s="46"/>
      <c r="K34" s="46"/>
      <c r="L34" s="46"/>
      <c r="M34" s="46"/>
      <c r="N34" s="46"/>
      <c r="O34" s="46"/>
      <c r="P34" s="46"/>
      <c r="Q34" s="23">
        <v>11</v>
      </c>
      <c r="R34" s="297">
        <v>0.5</v>
      </c>
      <c r="S34" s="299">
        <v>86.2</v>
      </c>
      <c r="T34" s="298">
        <f t="shared" si="2"/>
        <v>0.40834758893390649</v>
      </c>
      <c r="U34" s="46"/>
    </row>
    <row r="35" spans="1:21" ht="15" customHeight="1">
      <c r="A35" s="46"/>
      <c r="B35" s="23">
        <f t="shared" si="3"/>
        <v>12</v>
      </c>
      <c r="C35" s="194">
        <v>0.55000000000000004</v>
      </c>
      <c r="D35" s="196">
        <f t="shared" si="1"/>
        <v>86.6</v>
      </c>
      <c r="E35" s="193">
        <f t="shared" si="4"/>
        <v>0.427592417900447</v>
      </c>
      <c r="F35" s="58"/>
      <c r="G35" s="82"/>
      <c r="H35" s="82"/>
      <c r="I35" s="81"/>
      <c r="J35" s="46"/>
      <c r="K35" s="46"/>
      <c r="L35" s="46"/>
      <c r="M35" s="46"/>
      <c r="N35" s="46"/>
      <c r="O35" s="46"/>
      <c r="P35" s="46"/>
      <c r="Q35" s="23">
        <v>12</v>
      </c>
      <c r="R35" s="297">
        <v>0.55000000000000004</v>
      </c>
      <c r="S35" s="299">
        <v>88</v>
      </c>
      <c r="T35" s="298">
        <f t="shared" si="2"/>
        <v>0.50237728630191725</v>
      </c>
      <c r="U35" s="46"/>
    </row>
    <row r="36" spans="1:21" ht="15" customHeight="1">
      <c r="A36" s="46"/>
      <c r="B36" s="23">
        <f t="shared" si="3"/>
        <v>13</v>
      </c>
      <c r="C36" s="194">
        <v>0.6</v>
      </c>
      <c r="D36" s="196">
        <f t="shared" si="1"/>
        <v>88.5</v>
      </c>
      <c r="E36" s="193">
        <f t="shared" si="4"/>
        <v>0.53214501195976216</v>
      </c>
      <c r="F36" s="58"/>
      <c r="G36" s="82"/>
      <c r="H36" s="82"/>
      <c r="I36" s="81"/>
      <c r="J36" s="46"/>
      <c r="K36" s="46"/>
      <c r="L36" s="46"/>
      <c r="M36" s="46"/>
      <c r="N36" s="46"/>
      <c r="O36" s="46"/>
      <c r="P36" s="46"/>
      <c r="Q36" s="23">
        <v>13</v>
      </c>
      <c r="R36" s="297">
        <v>0.6</v>
      </c>
      <c r="S36" s="299">
        <v>89.9</v>
      </c>
      <c r="T36" s="298">
        <f t="shared" si="2"/>
        <v>0.62521587342479201</v>
      </c>
      <c r="U36" s="46"/>
    </row>
    <row r="37" spans="1:21" ht="15" customHeight="1">
      <c r="A37" s="46"/>
      <c r="B37" s="23">
        <f t="shared" si="3"/>
        <v>14</v>
      </c>
      <c r="C37" s="194">
        <v>0.65</v>
      </c>
      <c r="D37" s="196">
        <f t="shared" si="1"/>
        <v>90.5</v>
      </c>
      <c r="E37" s="193">
        <f t="shared" si="4"/>
        <v>0.66993087831565623</v>
      </c>
      <c r="F37" s="58"/>
      <c r="G37" s="82"/>
      <c r="H37" s="82"/>
      <c r="I37" s="81"/>
      <c r="J37" s="46"/>
      <c r="K37" s="46"/>
      <c r="L37" s="46"/>
      <c r="M37" s="46"/>
      <c r="N37" s="46"/>
      <c r="O37" s="46"/>
      <c r="P37" s="46"/>
      <c r="Q37" s="23">
        <v>14</v>
      </c>
      <c r="R37" s="297">
        <v>0.65</v>
      </c>
      <c r="S37" s="299">
        <v>91.9</v>
      </c>
      <c r="T37" s="298">
        <f t="shared" si="2"/>
        <v>0.78710015091155672</v>
      </c>
      <c r="U37" s="46"/>
    </row>
    <row r="38" spans="1:21" ht="15" customHeight="1">
      <c r="A38" s="46"/>
      <c r="B38" s="23">
        <f t="shared" si="3"/>
        <v>15</v>
      </c>
      <c r="C38" s="194">
        <v>0.7</v>
      </c>
      <c r="D38" s="196">
        <f t="shared" si="1"/>
        <v>93</v>
      </c>
      <c r="E38" s="193">
        <f t="shared" si="4"/>
        <v>0.89336718430192785</v>
      </c>
      <c r="F38" s="58"/>
      <c r="G38" s="82"/>
      <c r="H38" s="82"/>
      <c r="I38" s="81"/>
      <c r="J38" s="46"/>
      <c r="K38" s="46"/>
      <c r="L38" s="46"/>
      <c r="M38" s="46"/>
      <c r="N38" s="46"/>
      <c r="O38" s="46"/>
      <c r="P38" s="46"/>
      <c r="Q38" s="23">
        <v>15</v>
      </c>
      <c r="R38" s="297">
        <v>0.7</v>
      </c>
      <c r="S38" s="299">
        <v>94.4</v>
      </c>
      <c r="T38" s="298">
        <f t="shared" si="2"/>
        <v>1.0496149204995482</v>
      </c>
      <c r="U38" s="46"/>
    </row>
    <row r="39" spans="1:21" ht="15" customHeight="1">
      <c r="A39" s="46"/>
      <c r="B39" s="23">
        <f t="shared" si="3"/>
        <v>16</v>
      </c>
      <c r="C39" s="194">
        <v>0.75</v>
      </c>
      <c r="D39" s="196">
        <f t="shared" si="1"/>
        <v>95.1</v>
      </c>
      <c r="E39" s="193">
        <f t="shared" si="4"/>
        <v>1.1377058616876838</v>
      </c>
      <c r="F39" s="58"/>
      <c r="G39" s="82"/>
      <c r="H39" s="82"/>
      <c r="I39" s="81"/>
      <c r="J39" s="46"/>
      <c r="K39" s="46"/>
      <c r="L39" s="46"/>
      <c r="M39" s="46"/>
      <c r="N39" s="46"/>
      <c r="O39" s="46"/>
      <c r="P39" s="46"/>
      <c r="Q39" s="23">
        <v>16</v>
      </c>
      <c r="R39" s="297">
        <v>0.75</v>
      </c>
      <c r="S39" s="299">
        <v>96.5</v>
      </c>
      <c r="T39" s="298">
        <f t="shared" si="2"/>
        <v>1.3366878351372318</v>
      </c>
      <c r="U39" s="46"/>
    </row>
    <row r="40" spans="1:21" ht="15" customHeight="1">
      <c r="A40" s="46"/>
      <c r="B40" s="23">
        <f t="shared" si="3"/>
        <v>17</v>
      </c>
      <c r="C40" s="194">
        <v>0.8</v>
      </c>
      <c r="D40" s="196">
        <f t="shared" si="1"/>
        <v>96.6</v>
      </c>
      <c r="E40" s="193">
        <f t="shared" si="4"/>
        <v>1.3521659507839663</v>
      </c>
      <c r="F40" s="58"/>
      <c r="G40" s="82"/>
      <c r="H40" s="82"/>
      <c r="I40" s="81"/>
      <c r="J40" s="46"/>
      <c r="K40" s="46"/>
      <c r="L40" s="46"/>
      <c r="M40" s="46"/>
      <c r="N40" s="46"/>
      <c r="O40" s="46"/>
      <c r="P40" s="46"/>
      <c r="Q40" s="23">
        <v>17</v>
      </c>
      <c r="R40" s="297">
        <v>0.8</v>
      </c>
      <c r="S40" s="299">
        <v>98</v>
      </c>
      <c r="T40" s="298">
        <f t="shared" si="2"/>
        <v>1.588656469448565</v>
      </c>
      <c r="U40" s="46"/>
    </row>
    <row r="41" spans="1:21" ht="15" customHeight="1">
      <c r="A41" s="46"/>
      <c r="B41" s="23">
        <f t="shared" si="3"/>
        <v>18</v>
      </c>
      <c r="C41" s="194">
        <v>0.85</v>
      </c>
      <c r="D41" s="196">
        <f t="shared" si="1"/>
        <v>99</v>
      </c>
      <c r="E41" s="193">
        <f t="shared" si="4"/>
        <v>1.7825018762674922</v>
      </c>
      <c r="F41" s="58"/>
      <c r="G41" s="82"/>
      <c r="H41" s="82"/>
      <c r="I41" s="81"/>
      <c r="J41" s="46"/>
      <c r="K41" s="46"/>
      <c r="L41" s="46"/>
      <c r="M41" s="46"/>
      <c r="N41" s="46"/>
      <c r="O41" s="46"/>
      <c r="P41" s="46"/>
      <c r="Q41" s="23">
        <v>18</v>
      </c>
      <c r="R41" s="297">
        <v>0.85</v>
      </c>
      <c r="S41" s="299">
        <v>100.4</v>
      </c>
      <c r="T41" s="298">
        <f t="shared" si="2"/>
        <v>2.0942570961018032</v>
      </c>
      <c r="U41" s="46"/>
    </row>
    <row r="42" spans="1:21" ht="15" customHeight="1">
      <c r="A42" s="46"/>
      <c r="B42" s="23">
        <f t="shared" si="3"/>
        <v>19</v>
      </c>
      <c r="C42" s="194">
        <v>0.9</v>
      </c>
      <c r="D42" s="196">
        <f t="shared" si="1"/>
        <v>98.899999999999991</v>
      </c>
      <c r="E42" s="193">
        <f t="shared" si="4"/>
        <v>1.7620977460160265</v>
      </c>
      <c r="F42" s="58"/>
      <c r="G42" s="79"/>
      <c r="H42" s="82"/>
      <c r="I42" s="83"/>
      <c r="J42" s="46"/>
      <c r="K42" s="46"/>
      <c r="L42" s="46"/>
      <c r="M42" s="46"/>
      <c r="N42" s="46"/>
      <c r="O42" s="46"/>
      <c r="P42" s="46"/>
      <c r="Q42" s="23">
        <v>19</v>
      </c>
      <c r="R42" s="297">
        <v>0.9</v>
      </c>
      <c r="S42" s="299">
        <v>100.3</v>
      </c>
      <c r="T42" s="298">
        <f t="shared" si="2"/>
        <v>2.0702843333586882</v>
      </c>
      <c r="U42" s="46"/>
    </row>
    <row r="43" spans="1:21" ht="15" customHeight="1">
      <c r="A43" s="46"/>
      <c r="B43" s="23">
        <f t="shared" si="3"/>
        <v>20</v>
      </c>
      <c r="C43" s="195">
        <v>0.95</v>
      </c>
      <c r="D43" s="196">
        <f t="shared" si="1"/>
        <v>97.699999999999989</v>
      </c>
      <c r="E43" s="193">
        <f t="shared" si="4"/>
        <v>1.5347229787236401</v>
      </c>
      <c r="F43" s="58"/>
      <c r="G43" s="82"/>
      <c r="H43" s="82"/>
      <c r="I43" s="81"/>
      <c r="J43" s="46"/>
      <c r="K43" s="46"/>
      <c r="L43" s="46"/>
      <c r="M43" s="46"/>
      <c r="N43" s="46"/>
      <c r="O43" s="46"/>
      <c r="P43" s="46"/>
      <c r="Q43" s="23">
        <v>20</v>
      </c>
      <c r="R43" s="297">
        <v>0.95</v>
      </c>
      <c r="S43" s="299">
        <v>99.1</v>
      </c>
      <c r="T43" s="298">
        <f t="shared" si="2"/>
        <v>1.8031422752119151</v>
      </c>
      <c r="U43" s="46"/>
    </row>
    <row r="44" spans="1:21" ht="15" customHeight="1">
      <c r="A44" s="46"/>
      <c r="B44" s="23">
        <f t="shared" si="3"/>
        <v>21</v>
      </c>
      <c r="C44" s="194">
        <v>1</v>
      </c>
      <c r="D44" s="196">
        <f t="shared" si="1"/>
        <v>98.6</v>
      </c>
      <c r="E44" s="193">
        <f t="shared" si="4"/>
        <v>1.7022760764047546</v>
      </c>
      <c r="F44" s="58"/>
      <c r="G44" s="82"/>
      <c r="H44" s="82"/>
      <c r="I44" s="81"/>
      <c r="J44" s="46"/>
      <c r="K44" s="46"/>
      <c r="L44" s="46"/>
      <c r="M44" s="46"/>
      <c r="N44" s="46"/>
      <c r="O44" s="46"/>
      <c r="P44" s="46"/>
      <c r="Q44" s="23">
        <v>21</v>
      </c>
      <c r="R44" s="297">
        <v>1</v>
      </c>
      <c r="S44" s="299">
        <v>100</v>
      </c>
      <c r="T44" s="298">
        <f t="shared" si="2"/>
        <v>2</v>
      </c>
      <c r="U44" s="46"/>
    </row>
    <row r="45" spans="1:21" ht="15" customHeight="1">
      <c r="A45" s="46"/>
      <c r="B45" s="23">
        <f t="shared" si="3"/>
        <v>22</v>
      </c>
      <c r="C45" s="194">
        <v>1.05</v>
      </c>
      <c r="D45" s="196">
        <f t="shared" si="1"/>
        <v>97.699999999999989</v>
      </c>
      <c r="E45" s="193">
        <f t="shared" si="4"/>
        <v>1.5347229787236401</v>
      </c>
      <c r="F45" s="58"/>
      <c r="G45" s="84"/>
      <c r="H45" s="82"/>
      <c r="I45" s="81"/>
      <c r="J45" s="46"/>
      <c r="K45" s="46"/>
      <c r="L45" s="46"/>
      <c r="M45" s="46"/>
      <c r="N45" s="46"/>
      <c r="O45" s="46"/>
      <c r="P45" s="46"/>
      <c r="Q45" s="23">
        <v>22</v>
      </c>
      <c r="R45" s="297">
        <v>1.05</v>
      </c>
      <c r="S45" s="299">
        <v>99.1</v>
      </c>
      <c r="T45" s="298">
        <f t="shared" si="2"/>
        <v>1.8031422752119151</v>
      </c>
      <c r="U45" s="46"/>
    </row>
    <row r="46" spans="1:21" ht="15" customHeight="1">
      <c r="A46" s="46"/>
      <c r="B46" s="23">
        <f t="shared" si="3"/>
        <v>23</v>
      </c>
      <c r="C46" s="194">
        <v>1.1000000000000001</v>
      </c>
      <c r="D46" s="196">
        <f t="shared" si="1"/>
        <v>97.399999999999991</v>
      </c>
      <c r="E46" s="193">
        <f t="shared" si="4"/>
        <v>1.4826204826018345</v>
      </c>
      <c r="F46" s="89"/>
      <c r="G46" s="84"/>
      <c r="H46" s="82"/>
      <c r="I46" s="81"/>
      <c r="J46" s="46"/>
      <c r="K46" s="46"/>
      <c r="L46" s="46"/>
      <c r="M46" s="46"/>
      <c r="N46" s="46"/>
      <c r="O46" s="46"/>
      <c r="P46" s="46"/>
      <c r="Q46" s="23">
        <v>23</v>
      </c>
      <c r="R46" s="297">
        <v>1.1000000000000001</v>
      </c>
      <c r="S46" s="299">
        <v>98.8</v>
      </c>
      <c r="T46" s="298">
        <f t="shared" si="2"/>
        <v>1.7419271799121627</v>
      </c>
      <c r="U46" s="46"/>
    </row>
    <row r="47" spans="1:21" ht="15" customHeight="1">
      <c r="A47" s="46"/>
      <c r="B47" s="23">
        <f t="shared" si="3"/>
        <v>24</v>
      </c>
      <c r="C47" s="194">
        <v>1.1499999999999999</v>
      </c>
      <c r="D47" s="196">
        <f t="shared" si="1"/>
        <v>96.3</v>
      </c>
      <c r="E47" s="193">
        <f t="shared" si="4"/>
        <v>1.3062611052949451</v>
      </c>
      <c r="F47" s="58"/>
      <c r="G47" s="84"/>
      <c r="H47" s="82"/>
      <c r="I47" s="81"/>
      <c r="J47" s="46"/>
      <c r="K47" s="46"/>
      <c r="L47" s="46"/>
      <c r="M47" s="46"/>
      <c r="N47" s="46"/>
      <c r="O47" s="46"/>
      <c r="P47" s="46"/>
      <c r="Q47" s="23">
        <v>24</v>
      </c>
      <c r="R47" s="297">
        <v>1.1499999999999999</v>
      </c>
      <c r="S47" s="299">
        <v>97.7</v>
      </c>
      <c r="T47" s="298">
        <f t="shared" si="2"/>
        <v>1.5347229787236401</v>
      </c>
      <c r="U47" s="46"/>
    </row>
    <row r="48" spans="1:21" ht="15" customHeight="1">
      <c r="A48" s="46"/>
      <c r="B48" s="23">
        <f t="shared" si="3"/>
        <v>25</v>
      </c>
      <c r="C48" s="194">
        <v>1.2</v>
      </c>
      <c r="D48" s="196">
        <f t="shared" si="1"/>
        <v>95.5</v>
      </c>
      <c r="E48" s="193">
        <f t="shared" si="4"/>
        <v>1.1913242870580238</v>
      </c>
      <c r="F48" s="58"/>
      <c r="G48" s="84"/>
      <c r="H48" s="82"/>
      <c r="I48" s="81"/>
      <c r="J48" s="46"/>
      <c r="K48" s="46"/>
      <c r="L48" s="46"/>
      <c r="M48" s="46"/>
      <c r="N48" s="46"/>
      <c r="O48" s="46"/>
      <c r="P48" s="46"/>
      <c r="Q48" s="23">
        <v>25</v>
      </c>
      <c r="R48" s="297">
        <v>1.2</v>
      </c>
      <c r="S48" s="299">
        <v>96.9</v>
      </c>
      <c r="T48" s="298">
        <f t="shared" si="2"/>
        <v>1.3996839920045494</v>
      </c>
      <c r="U48" s="46"/>
    </row>
    <row r="49" spans="1:21" ht="15" customHeight="1">
      <c r="A49" s="46"/>
      <c r="B49" s="23">
        <f t="shared" si="3"/>
        <v>26</v>
      </c>
      <c r="C49" s="194">
        <v>1.25</v>
      </c>
      <c r="D49" s="196">
        <f t="shared" si="1"/>
        <v>97.3</v>
      </c>
      <c r="E49" s="193">
        <f t="shared" si="4"/>
        <v>1.4656490662778106</v>
      </c>
      <c r="F49" s="58"/>
      <c r="G49" s="84"/>
      <c r="H49" s="82"/>
      <c r="I49" s="85"/>
      <c r="J49" s="46"/>
      <c r="K49" s="46"/>
      <c r="L49" s="46"/>
      <c r="M49" s="46"/>
      <c r="N49" s="46"/>
      <c r="O49" s="46"/>
      <c r="P49" s="46"/>
      <c r="Q49" s="23">
        <v>26</v>
      </c>
      <c r="R49" s="297">
        <v>1.25</v>
      </c>
      <c r="S49" s="299">
        <v>98.7</v>
      </c>
      <c r="T49" s="298">
        <f t="shared" si="2"/>
        <v>1.7219875043692059</v>
      </c>
      <c r="U49" s="46"/>
    </row>
    <row r="50" spans="1:21" ht="15" customHeight="1">
      <c r="A50" s="46"/>
      <c r="B50" s="23">
        <f t="shared" si="3"/>
        <v>27</v>
      </c>
      <c r="C50" s="194">
        <v>1.3</v>
      </c>
      <c r="D50" s="196">
        <f t="shared" si="1"/>
        <v>99.399999999999991</v>
      </c>
      <c r="E50" s="193">
        <f t="shared" si="4"/>
        <v>1.8665086015939831</v>
      </c>
      <c r="F50" s="58"/>
      <c r="G50" s="84"/>
      <c r="H50" s="82"/>
      <c r="I50" s="85"/>
      <c r="J50" s="46"/>
      <c r="K50" s="46"/>
      <c r="L50" s="46"/>
      <c r="M50" s="46"/>
      <c r="N50" s="46"/>
      <c r="O50" s="46"/>
      <c r="P50" s="46"/>
      <c r="Q50" s="23">
        <v>27</v>
      </c>
      <c r="R50" s="297">
        <v>1.3</v>
      </c>
      <c r="S50" s="299">
        <v>100.8</v>
      </c>
      <c r="T50" s="298">
        <f t="shared" si="2"/>
        <v>2.1929563922863737</v>
      </c>
      <c r="U50" s="46"/>
    </row>
    <row r="51" spans="1:21" ht="15" customHeight="1">
      <c r="A51" s="46"/>
      <c r="B51" s="23">
        <f t="shared" si="3"/>
        <v>28</v>
      </c>
      <c r="C51" s="194">
        <v>1.35</v>
      </c>
      <c r="D51" s="196">
        <f t="shared" si="1"/>
        <v>98.6</v>
      </c>
      <c r="E51" s="193">
        <f t="shared" si="4"/>
        <v>1.7022760764047546</v>
      </c>
      <c r="F51" s="58"/>
      <c r="G51" s="84"/>
      <c r="H51" s="82"/>
      <c r="I51" s="86"/>
      <c r="J51" s="46"/>
      <c r="K51" s="46"/>
      <c r="L51" s="46"/>
      <c r="M51" s="46"/>
      <c r="N51" s="46"/>
      <c r="O51" s="46"/>
      <c r="P51" s="46"/>
      <c r="Q51" s="23">
        <v>28</v>
      </c>
      <c r="R51" s="297">
        <v>1.35</v>
      </c>
      <c r="S51" s="299">
        <v>100</v>
      </c>
      <c r="T51" s="298">
        <f t="shared" si="2"/>
        <v>2</v>
      </c>
      <c r="U51" s="46"/>
    </row>
    <row r="52" spans="1:21" ht="15" customHeight="1">
      <c r="A52" s="46"/>
      <c r="B52" s="23">
        <f t="shared" si="3"/>
        <v>29</v>
      </c>
      <c r="C52" s="194">
        <v>1.4</v>
      </c>
      <c r="D52" s="196">
        <f t="shared" si="1"/>
        <v>96.6</v>
      </c>
      <c r="E52" s="193">
        <f t="shared" si="4"/>
        <v>1.3521659507839663</v>
      </c>
      <c r="F52" s="58"/>
      <c r="G52" s="84"/>
      <c r="H52" s="82"/>
      <c r="I52" s="86"/>
      <c r="J52" s="46"/>
      <c r="K52" s="46"/>
      <c r="L52" s="46"/>
      <c r="M52" s="46"/>
      <c r="N52" s="46"/>
      <c r="O52" s="46"/>
      <c r="P52" s="46"/>
      <c r="Q52" s="23">
        <v>29</v>
      </c>
      <c r="R52" s="297">
        <v>1.4</v>
      </c>
      <c r="S52" s="299">
        <v>98</v>
      </c>
      <c r="T52" s="298">
        <f t="shared" si="2"/>
        <v>1.588656469448565</v>
      </c>
      <c r="U52" s="46"/>
    </row>
    <row r="53" spans="1:21" ht="15" customHeight="1">
      <c r="A53" s="46"/>
      <c r="B53" s="23">
        <f t="shared" si="3"/>
        <v>30</v>
      </c>
      <c r="C53" s="194">
        <v>1.45</v>
      </c>
      <c r="D53" s="196">
        <f t="shared" si="1"/>
        <v>96</v>
      </c>
      <c r="E53" s="193">
        <f t="shared" si="4"/>
        <v>1.2619146889603869</v>
      </c>
      <c r="F53" s="58"/>
      <c r="G53" s="84"/>
      <c r="H53" s="82"/>
      <c r="I53" s="86"/>
      <c r="J53" s="46"/>
      <c r="K53" s="46"/>
      <c r="L53" s="46"/>
      <c r="M53" s="46"/>
      <c r="N53" s="46"/>
      <c r="O53" s="46"/>
      <c r="P53" s="46"/>
      <c r="Q53" s="23">
        <v>30</v>
      </c>
      <c r="R53" s="297">
        <v>1.45</v>
      </c>
      <c r="S53" s="299">
        <v>97.4</v>
      </c>
      <c r="T53" s="298">
        <f t="shared" si="2"/>
        <v>1.4826204826018372</v>
      </c>
      <c r="U53" s="46"/>
    </row>
    <row r="54" spans="1:21" ht="15" customHeight="1">
      <c r="A54" s="46"/>
      <c r="B54" s="23">
        <f t="shared" si="3"/>
        <v>31</v>
      </c>
      <c r="C54" s="194">
        <v>1.5</v>
      </c>
      <c r="D54" s="196">
        <f t="shared" si="1"/>
        <v>96.5</v>
      </c>
      <c r="E54" s="193">
        <f t="shared" si="4"/>
        <v>1.3366878351372318</v>
      </c>
      <c r="F54" s="58"/>
      <c r="G54" s="84"/>
      <c r="H54" s="82"/>
      <c r="I54" s="85"/>
      <c r="J54" s="46"/>
      <c r="K54" s="46"/>
      <c r="L54" s="46"/>
      <c r="M54" s="46"/>
      <c r="N54" s="46"/>
      <c r="O54" s="46"/>
      <c r="P54" s="46"/>
      <c r="Q54" s="23">
        <v>31</v>
      </c>
      <c r="R54" s="297">
        <v>1.5</v>
      </c>
      <c r="S54" s="299">
        <v>97.9</v>
      </c>
      <c r="T54" s="298">
        <f t="shared" si="2"/>
        <v>1.5704712692201486</v>
      </c>
      <c r="U54" s="46"/>
    </row>
    <row r="55" spans="1:21" ht="15" customHeight="1">
      <c r="A55" s="46"/>
      <c r="B55" s="23">
        <f t="shared" si="3"/>
        <v>32</v>
      </c>
      <c r="C55" s="194">
        <v>1.55</v>
      </c>
      <c r="D55" s="196">
        <f t="shared" si="1"/>
        <v>96.899999999999991</v>
      </c>
      <c r="E55" s="193">
        <f t="shared" si="4"/>
        <v>1.399683992004547</v>
      </c>
      <c r="F55" s="58"/>
      <c r="G55" s="84"/>
      <c r="H55" s="82"/>
      <c r="I55" s="85"/>
      <c r="J55" s="46"/>
      <c r="K55" s="46"/>
      <c r="L55" s="46"/>
      <c r="M55" s="46"/>
      <c r="N55" s="46"/>
      <c r="O55" s="46"/>
      <c r="P55" s="46"/>
      <c r="Q55" s="23">
        <v>32</v>
      </c>
      <c r="R55" s="297">
        <v>1.55</v>
      </c>
      <c r="S55" s="299">
        <v>98.3</v>
      </c>
      <c r="T55" s="298">
        <f t="shared" si="2"/>
        <v>1.6444852998941439</v>
      </c>
      <c r="U55" s="46"/>
    </row>
    <row r="56" spans="1:21" ht="15" customHeight="1">
      <c r="A56" s="46"/>
      <c r="B56" s="23">
        <f t="shared" si="3"/>
        <v>33</v>
      </c>
      <c r="C56" s="194">
        <v>1.6</v>
      </c>
      <c r="D56" s="196">
        <f t="shared" si="1"/>
        <v>96.8</v>
      </c>
      <c r="E56" s="193">
        <f t="shared" si="4"/>
        <v>1.3836619418378731</v>
      </c>
      <c r="F56" s="58"/>
      <c r="G56" s="79"/>
      <c r="H56" s="82"/>
      <c r="I56" s="85"/>
      <c r="J56" s="46"/>
      <c r="K56" s="46"/>
      <c r="L56" s="46"/>
      <c r="M56" s="46"/>
      <c r="N56" s="46"/>
      <c r="O56" s="46"/>
      <c r="P56" s="46"/>
      <c r="Q56" s="23">
        <v>33</v>
      </c>
      <c r="R56" s="297">
        <v>1.6</v>
      </c>
      <c r="S56" s="299">
        <v>98.2</v>
      </c>
      <c r="T56" s="298">
        <f t="shared" si="2"/>
        <v>1.6256610323282004</v>
      </c>
      <c r="U56" s="46"/>
    </row>
    <row r="57" spans="1:21" ht="15" customHeight="1">
      <c r="A57" s="46"/>
      <c r="B57" s="23">
        <f t="shared" si="3"/>
        <v>34</v>
      </c>
      <c r="C57" s="194">
        <v>1.65</v>
      </c>
      <c r="D57" s="196">
        <f t="shared" si="1"/>
        <v>94.899999999999991</v>
      </c>
      <c r="E57" s="193">
        <f t="shared" si="4"/>
        <v>1.1118085145408063</v>
      </c>
      <c r="F57" s="58"/>
      <c r="G57" s="82"/>
      <c r="H57" s="82"/>
      <c r="I57" s="85"/>
      <c r="J57" s="46"/>
      <c r="K57" s="46"/>
      <c r="L57" s="46"/>
      <c r="M57" s="46"/>
      <c r="N57" s="46"/>
      <c r="O57" s="46"/>
      <c r="P57" s="46"/>
      <c r="Q57" s="23">
        <v>34</v>
      </c>
      <c r="R57" s="297">
        <v>1.65</v>
      </c>
      <c r="S57" s="299">
        <v>96.3</v>
      </c>
      <c r="T57" s="298">
        <f t="shared" si="2"/>
        <v>1.3062611052949451</v>
      </c>
      <c r="U57" s="46"/>
    </row>
    <row r="58" spans="1:21" ht="15" customHeight="1">
      <c r="A58" s="46"/>
      <c r="B58" s="23">
        <f t="shared" si="3"/>
        <v>35</v>
      </c>
      <c r="C58" s="194">
        <v>1.7</v>
      </c>
      <c r="D58" s="196">
        <f t="shared" si="1"/>
        <v>95.699999999999989</v>
      </c>
      <c r="E58" s="193">
        <f t="shared" si="4"/>
        <v>1.2190737944803369</v>
      </c>
      <c r="F58" s="58"/>
      <c r="G58" s="82"/>
      <c r="H58" s="82"/>
      <c r="I58" s="85"/>
      <c r="J58" s="46"/>
      <c r="K58" s="46"/>
      <c r="L58" s="46"/>
      <c r="M58" s="46"/>
      <c r="N58" s="46"/>
      <c r="O58" s="46"/>
      <c r="P58" s="46"/>
      <c r="Q58" s="23">
        <v>35</v>
      </c>
      <c r="R58" s="297">
        <v>1.7</v>
      </c>
      <c r="S58" s="299">
        <v>97.1</v>
      </c>
      <c r="T58" s="298">
        <f t="shared" si="2"/>
        <v>1.4322868204258039</v>
      </c>
      <c r="U58" s="46"/>
    </row>
    <row r="59" spans="1:21" ht="15" customHeight="1">
      <c r="A59" s="46"/>
      <c r="B59" s="23">
        <f t="shared" si="3"/>
        <v>36</v>
      </c>
      <c r="C59" s="194">
        <v>1.75</v>
      </c>
      <c r="D59" s="196">
        <f t="shared" si="1"/>
        <v>96.6</v>
      </c>
      <c r="E59" s="193">
        <f t="shared" si="4"/>
        <v>1.3521659507839663</v>
      </c>
      <c r="F59" s="58"/>
      <c r="G59" s="79"/>
      <c r="H59" s="82"/>
      <c r="I59" s="85"/>
      <c r="J59" s="46"/>
      <c r="K59" s="46"/>
      <c r="L59" s="46"/>
      <c r="M59" s="46"/>
      <c r="N59" s="46"/>
      <c r="O59" s="46"/>
      <c r="P59" s="46"/>
      <c r="Q59" s="23">
        <v>36</v>
      </c>
      <c r="R59" s="297">
        <v>1.75</v>
      </c>
      <c r="S59" s="299">
        <v>98</v>
      </c>
      <c r="T59" s="298">
        <f t="shared" si="2"/>
        <v>1.588656469448565</v>
      </c>
      <c r="U59" s="46"/>
    </row>
    <row r="60" spans="1:21" ht="15" customHeight="1">
      <c r="A60" s="46"/>
      <c r="B60" s="23">
        <f t="shared" si="3"/>
        <v>37</v>
      </c>
      <c r="C60" s="194">
        <v>1.8</v>
      </c>
      <c r="D60" s="196">
        <f t="shared" si="1"/>
        <v>97.6</v>
      </c>
      <c r="E60" s="193">
        <f t="shared" si="4"/>
        <v>1.5171551500583698</v>
      </c>
      <c r="F60" s="58"/>
      <c r="G60" s="87"/>
      <c r="H60" s="82"/>
      <c r="I60" s="85"/>
      <c r="J60" s="46"/>
      <c r="K60" s="46"/>
      <c r="L60" s="46"/>
      <c r="M60" s="46"/>
      <c r="N60" s="46"/>
      <c r="O60" s="46"/>
      <c r="P60" s="46"/>
      <c r="Q60" s="23">
        <v>37</v>
      </c>
      <c r="R60" s="297">
        <v>1.8</v>
      </c>
      <c r="S60" s="299">
        <v>99</v>
      </c>
      <c r="T60" s="298">
        <f t="shared" si="2"/>
        <v>1.7825018762674922</v>
      </c>
      <c r="U60" s="46"/>
    </row>
    <row r="61" spans="1:21" ht="15" customHeight="1">
      <c r="A61" s="46"/>
      <c r="B61" s="23">
        <f t="shared" si="3"/>
        <v>38</v>
      </c>
      <c r="C61" s="194">
        <v>1.85</v>
      </c>
      <c r="D61" s="196">
        <f t="shared" si="1"/>
        <v>96.1</v>
      </c>
      <c r="E61" s="193">
        <f t="shared" si="4"/>
        <v>1.2765269723810979</v>
      </c>
      <c r="F61" s="58"/>
      <c r="G61" s="84"/>
      <c r="H61" s="82"/>
      <c r="I61" s="85"/>
      <c r="J61" s="46"/>
      <c r="K61" s="46"/>
      <c r="L61" s="46"/>
      <c r="M61" s="46"/>
      <c r="N61" s="46"/>
      <c r="O61" s="46"/>
      <c r="P61" s="46"/>
      <c r="Q61" s="23">
        <v>38</v>
      </c>
      <c r="R61" s="297">
        <v>1.85</v>
      </c>
      <c r="S61" s="299">
        <v>97.5</v>
      </c>
      <c r="T61" s="298">
        <f t="shared" si="2"/>
        <v>1.4997884186649137</v>
      </c>
      <c r="U61" s="46"/>
    </row>
    <row r="62" spans="1:21" ht="15" customHeight="1">
      <c r="A62" s="46"/>
      <c r="B62" s="23">
        <f t="shared" si="3"/>
        <v>39</v>
      </c>
      <c r="C62" s="195">
        <v>1.9</v>
      </c>
      <c r="D62" s="196">
        <f t="shared" si="1"/>
        <v>97.699999999999989</v>
      </c>
      <c r="E62" s="193">
        <f t="shared" si="4"/>
        <v>1.5347229787236401</v>
      </c>
      <c r="F62" s="58"/>
      <c r="G62" s="82"/>
      <c r="H62" s="82"/>
      <c r="I62" s="85"/>
      <c r="J62" s="46"/>
      <c r="K62" s="46"/>
      <c r="L62" s="46"/>
      <c r="M62" s="46"/>
      <c r="N62" s="46"/>
      <c r="O62" s="46"/>
      <c r="P62" s="46"/>
      <c r="Q62" s="23">
        <v>39</v>
      </c>
      <c r="R62" s="297">
        <v>1.9</v>
      </c>
      <c r="S62" s="299">
        <v>99.1</v>
      </c>
      <c r="T62" s="298">
        <f t="shared" si="2"/>
        <v>1.8031422752119151</v>
      </c>
      <c r="U62" s="46"/>
    </row>
    <row r="63" spans="1:21" ht="15" customHeight="1">
      <c r="A63" s="46"/>
      <c r="B63" s="23">
        <f t="shared" si="3"/>
        <v>40</v>
      </c>
      <c r="C63" s="194">
        <v>1.95</v>
      </c>
      <c r="D63" s="196">
        <f t="shared" si="1"/>
        <v>99.899999999999991</v>
      </c>
      <c r="E63" s="193">
        <f t="shared" si="4"/>
        <v>1.9771061893138748</v>
      </c>
      <c r="F63" s="58"/>
      <c r="G63" s="82"/>
      <c r="H63" s="82"/>
      <c r="I63" s="85"/>
      <c r="J63" s="46"/>
      <c r="K63" s="46"/>
      <c r="L63" s="46"/>
      <c r="M63" s="46"/>
      <c r="N63" s="46"/>
      <c r="O63" s="46"/>
      <c r="P63" s="46"/>
      <c r="Q63" s="23">
        <v>40</v>
      </c>
      <c r="R63" s="297">
        <v>1.95</v>
      </c>
      <c r="S63" s="299">
        <v>101.3</v>
      </c>
      <c r="T63" s="298">
        <f t="shared" si="2"/>
        <v>2.3228972276806847</v>
      </c>
      <c r="U63" s="46"/>
    </row>
    <row r="64" spans="1:21" ht="15" customHeight="1">
      <c r="A64" s="46"/>
      <c r="B64" s="23">
        <f t="shared" si="3"/>
        <v>41</v>
      </c>
      <c r="C64" s="194">
        <v>2</v>
      </c>
      <c r="D64" s="196">
        <f t="shared" si="1"/>
        <v>100.5</v>
      </c>
      <c r="E64" s="193">
        <f t="shared" si="4"/>
        <v>2.1185074503545818</v>
      </c>
      <c r="F64" s="58"/>
      <c r="G64" s="79"/>
      <c r="H64" s="82"/>
      <c r="I64" s="76"/>
      <c r="J64" s="46"/>
      <c r="K64" s="46"/>
      <c r="L64" s="46"/>
      <c r="M64" s="46"/>
      <c r="N64" s="46"/>
      <c r="O64" s="46"/>
      <c r="P64" s="46"/>
      <c r="Q64" s="23">
        <v>41</v>
      </c>
      <c r="R64" s="297">
        <v>2</v>
      </c>
      <c r="S64" s="299">
        <v>101.9</v>
      </c>
      <c r="T64" s="298">
        <f t="shared" si="2"/>
        <v>2.4890292235427776</v>
      </c>
      <c r="U64" s="46"/>
    </row>
    <row r="65" spans="1:21" ht="15" customHeight="1">
      <c r="A65" s="46"/>
      <c r="B65" s="23">
        <f t="shared" si="3"/>
        <v>42</v>
      </c>
      <c r="C65" s="194">
        <v>2.0499999999999998</v>
      </c>
      <c r="D65" s="196">
        <f t="shared" si="1"/>
        <v>99.6</v>
      </c>
      <c r="E65" s="193">
        <f t="shared" si="4"/>
        <v>1.9099851720428727</v>
      </c>
      <c r="F65" s="58"/>
      <c r="G65" s="79"/>
      <c r="H65" s="82"/>
      <c r="I65" s="76"/>
      <c r="J65" s="46"/>
      <c r="K65" s="46"/>
      <c r="L65" s="46"/>
      <c r="M65" s="46"/>
      <c r="N65" s="46"/>
      <c r="O65" s="46"/>
      <c r="P65" s="46"/>
      <c r="Q65" s="23">
        <v>42</v>
      </c>
      <c r="R65" s="297">
        <v>2.0499999999999998</v>
      </c>
      <c r="S65" s="299">
        <v>101</v>
      </c>
      <c r="T65" s="298">
        <f t="shared" si="2"/>
        <v>2.2440369086039302</v>
      </c>
      <c r="U65" s="46"/>
    </row>
    <row r="66" spans="1:21" ht="15" customHeight="1">
      <c r="A66" s="46"/>
      <c r="B66" s="23">
        <f t="shared" si="3"/>
        <v>43</v>
      </c>
      <c r="C66" s="194">
        <v>2.1</v>
      </c>
      <c r="D66" s="196">
        <f t="shared" si="1"/>
        <v>97.6</v>
      </c>
      <c r="E66" s="193">
        <f t="shared" si="4"/>
        <v>1.5171551500583698</v>
      </c>
      <c r="F66" s="58"/>
      <c r="G66" s="79"/>
      <c r="H66" s="82"/>
      <c r="I66" s="76" t="s">
        <v>190</v>
      </c>
      <c r="J66" s="46"/>
      <c r="K66" s="46"/>
      <c r="L66" s="46"/>
      <c r="M66" s="46"/>
      <c r="N66" s="46"/>
      <c r="O66" s="46"/>
      <c r="P66" s="46"/>
      <c r="Q66" s="23">
        <v>43</v>
      </c>
      <c r="R66" s="297">
        <v>2.1</v>
      </c>
      <c r="S66" s="299">
        <v>99</v>
      </c>
      <c r="T66" s="298">
        <f t="shared" si="2"/>
        <v>1.7825018762674922</v>
      </c>
      <c r="U66" s="46"/>
    </row>
    <row r="67" spans="1:21" ht="15" customHeight="1">
      <c r="A67" s="46"/>
      <c r="B67" s="23">
        <f t="shared" si="3"/>
        <v>44</v>
      </c>
      <c r="C67" s="194">
        <v>2.15</v>
      </c>
      <c r="D67" s="196">
        <f t="shared" si="1"/>
        <v>98.6</v>
      </c>
      <c r="E67" s="193">
        <f t="shared" si="4"/>
        <v>1.7022760764047546</v>
      </c>
      <c r="F67" s="58"/>
      <c r="G67" s="79"/>
      <c r="H67" s="82"/>
      <c r="I67" s="76"/>
      <c r="J67" s="46"/>
      <c r="K67" s="46"/>
      <c r="L67" s="46"/>
      <c r="M67" s="46"/>
      <c r="N67" s="46"/>
      <c r="O67" s="46"/>
      <c r="P67" s="46"/>
      <c r="Q67" s="23">
        <v>44</v>
      </c>
      <c r="R67" s="297">
        <v>2.15</v>
      </c>
      <c r="S67" s="299">
        <v>100</v>
      </c>
      <c r="T67" s="298">
        <f t="shared" si="2"/>
        <v>2</v>
      </c>
      <c r="U67" s="46"/>
    </row>
    <row r="68" spans="1:21" ht="15" customHeight="1">
      <c r="A68" s="46"/>
      <c r="B68" s="23">
        <f t="shared" si="3"/>
        <v>45</v>
      </c>
      <c r="C68" s="194">
        <v>2.2000000000000002</v>
      </c>
      <c r="D68" s="196">
        <f t="shared" si="1"/>
        <v>100.19999999999999</v>
      </c>
      <c r="E68" s="193">
        <f t="shared" si="4"/>
        <v>2.0465859845615086</v>
      </c>
      <c r="F68" s="58"/>
      <c r="G68" s="79"/>
      <c r="H68" s="82"/>
      <c r="I68" s="76"/>
      <c r="J68" s="46"/>
      <c r="K68" s="46"/>
      <c r="L68" s="46"/>
      <c r="M68" s="46"/>
      <c r="N68" s="46"/>
      <c r="O68" s="46"/>
      <c r="P68" s="46"/>
      <c r="Q68" s="23">
        <v>45</v>
      </c>
      <c r="R68" s="297">
        <v>2.2000000000000002</v>
      </c>
      <c r="S68" s="299">
        <v>101.6</v>
      </c>
      <c r="T68" s="298">
        <f t="shared" si="2"/>
        <v>2.404528869234829</v>
      </c>
      <c r="U68" s="46"/>
    </row>
    <row r="69" spans="1:21" ht="15" customHeight="1">
      <c r="A69" s="46"/>
      <c r="B69" s="23">
        <f t="shared" si="3"/>
        <v>46</v>
      </c>
      <c r="C69" s="194">
        <v>2.25</v>
      </c>
      <c r="D69" s="196">
        <f t="shared" si="1"/>
        <v>100.6</v>
      </c>
      <c r="E69" s="193">
        <f t="shared" si="4"/>
        <v>2.1430386104752128</v>
      </c>
      <c r="F69" s="58"/>
      <c r="G69" s="79"/>
      <c r="H69" s="82"/>
      <c r="I69" s="76"/>
      <c r="J69" s="46"/>
      <c r="K69" s="46"/>
      <c r="L69" s="46"/>
      <c r="M69" s="46"/>
      <c r="N69" s="46"/>
      <c r="O69" s="46"/>
      <c r="P69" s="46"/>
      <c r="Q69" s="23">
        <v>46</v>
      </c>
      <c r="R69" s="297">
        <v>2.25</v>
      </c>
      <c r="S69" s="299">
        <v>102</v>
      </c>
      <c r="T69" s="298">
        <f t="shared" si="2"/>
        <v>2.5178508235883372</v>
      </c>
      <c r="U69" s="46"/>
    </row>
    <row r="70" spans="1:21" ht="15" customHeight="1">
      <c r="A70" s="46"/>
      <c r="B70" s="23">
        <f t="shared" si="3"/>
        <v>47</v>
      </c>
      <c r="C70" s="194">
        <f>C69+0.05</f>
        <v>2.2999999999999998</v>
      </c>
      <c r="D70" s="196">
        <f t="shared" si="1"/>
        <v>99.1</v>
      </c>
      <c r="E70" s="193">
        <f t="shared" si="4"/>
        <v>1.8031422752119151</v>
      </c>
      <c r="F70" s="58"/>
      <c r="G70" s="79"/>
      <c r="H70" s="82"/>
      <c r="I70" s="76"/>
      <c r="J70" s="46"/>
      <c r="K70" s="46"/>
      <c r="L70" s="46"/>
      <c r="M70" s="46"/>
      <c r="N70" s="46"/>
      <c r="O70" s="46"/>
      <c r="P70" s="46"/>
      <c r="Q70" s="23">
        <v>47</v>
      </c>
      <c r="R70" s="297">
        <v>2.2999999999999998</v>
      </c>
      <c r="S70" s="299">
        <v>100.5</v>
      </c>
      <c r="T70" s="298">
        <f t="shared" si="2"/>
        <v>2.1185074503545818</v>
      </c>
      <c r="U70" s="46"/>
    </row>
    <row r="71" spans="1:21" ht="15" customHeight="1">
      <c r="A71" s="46"/>
      <c r="B71" s="23">
        <f t="shared" si="3"/>
        <v>48</v>
      </c>
      <c r="C71" s="194">
        <f t="shared" ref="C71:C108" si="5">C70+0.05</f>
        <v>2.3499999999999996</v>
      </c>
      <c r="D71" s="196">
        <f t="shared" si="1"/>
        <v>97.199999999999989</v>
      </c>
      <c r="E71" s="193">
        <f t="shared" si="4"/>
        <v>1.4488719201499798</v>
      </c>
      <c r="F71" s="58"/>
      <c r="G71" s="79"/>
      <c r="H71" s="82"/>
      <c r="I71" s="76"/>
      <c r="J71" s="46"/>
      <c r="K71" s="46"/>
      <c r="L71" s="46"/>
      <c r="M71" s="46"/>
      <c r="N71" s="46"/>
      <c r="O71" s="46"/>
      <c r="P71" s="46"/>
      <c r="Q71" s="23">
        <v>48</v>
      </c>
      <c r="R71" s="297">
        <v>2.3499999999999996</v>
      </c>
      <c r="S71" s="299">
        <v>98.6</v>
      </c>
      <c r="T71" s="298">
        <f t="shared" si="2"/>
        <v>1.7022760764047546</v>
      </c>
      <c r="U71" s="46"/>
    </row>
    <row r="72" spans="1:21" ht="15" customHeight="1">
      <c r="A72" s="46"/>
      <c r="B72" s="23">
        <f t="shared" si="3"/>
        <v>49</v>
      </c>
      <c r="C72" s="194">
        <f t="shared" si="5"/>
        <v>2.3999999999999995</v>
      </c>
      <c r="D72" s="196">
        <f t="shared" si="1"/>
        <v>98.6</v>
      </c>
      <c r="E72" s="193">
        <f t="shared" si="4"/>
        <v>1.7022760764047546</v>
      </c>
      <c r="F72" s="58"/>
      <c r="G72" s="46"/>
      <c r="H72" s="46"/>
      <c r="I72" s="46"/>
      <c r="J72" s="46"/>
      <c r="K72" s="46"/>
      <c r="L72" s="46"/>
      <c r="M72" s="46"/>
      <c r="N72" s="46"/>
      <c r="O72" s="46"/>
      <c r="P72" s="46"/>
      <c r="Q72" s="23">
        <v>49</v>
      </c>
      <c r="R72" s="297">
        <v>2.3999999999999995</v>
      </c>
      <c r="S72" s="299">
        <v>100</v>
      </c>
      <c r="T72" s="298">
        <f t="shared" si="2"/>
        <v>2</v>
      </c>
      <c r="U72" s="46"/>
    </row>
    <row r="73" spans="1:21" ht="15" customHeight="1">
      <c r="A73" s="46"/>
      <c r="B73" s="23">
        <f t="shared" si="3"/>
        <v>50</v>
      </c>
      <c r="C73" s="194">
        <f t="shared" si="5"/>
        <v>2.4499999999999993</v>
      </c>
      <c r="D73" s="196">
        <f t="shared" si="1"/>
        <v>98.6</v>
      </c>
      <c r="E73" s="193">
        <f t="shared" si="4"/>
        <v>1.7022760764047546</v>
      </c>
      <c r="F73" s="58"/>
      <c r="G73" s="46"/>
      <c r="H73" s="46"/>
      <c r="I73" s="46"/>
      <c r="J73" s="46"/>
      <c r="K73" s="46"/>
      <c r="L73" s="46"/>
      <c r="M73" s="46"/>
      <c r="N73" s="46"/>
      <c r="O73" s="46"/>
      <c r="P73" s="46"/>
      <c r="Q73" s="23">
        <v>50</v>
      </c>
      <c r="R73" s="297">
        <v>2.4499999999999993</v>
      </c>
      <c r="S73" s="299">
        <v>100</v>
      </c>
      <c r="T73" s="298">
        <f t="shared" si="2"/>
        <v>2</v>
      </c>
      <c r="U73" s="46"/>
    </row>
    <row r="74" spans="1:21" ht="15" customHeight="1">
      <c r="A74" s="46"/>
      <c r="B74" s="23">
        <f t="shared" si="3"/>
        <v>51</v>
      </c>
      <c r="C74" s="194">
        <f t="shared" si="5"/>
        <v>2.4999999999999991</v>
      </c>
      <c r="D74" s="196">
        <f t="shared" si="1"/>
        <v>98.199999999999989</v>
      </c>
      <c r="E74" s="193">
        <f t="shared" si="4"/>
        <v>1.6256610323281975</v>
      </c>
      <c r="F74" s="58"/>
      <c r="G74" s="46"/>
      <c r="H74" s="46"/>
      <c r="I74" s="46"/>
      <c r="J74" s="46"/>
      <c r="K74" s="46"/>
      <c r="L74" s="46"/>
      <c r="M74" s="46"/>
      <c r="N74" s="46"/>
      <c r="O74" s="46"/>
      <c r="P74" s="46"/>
      <c r="Q74" s="23">
        <v>51</v>
      </c>
      <c r="R74" s="297">
        <v>2.4999999999999991</v>
      </c>
      <c r="S74" s="299">
        <v>99.6</v>
      </c>
      <c r="T74" s="298">
        <f t="shared" si="2"/>
        <v>1.9099851720428727</v>
      </c>
      <c r="U74" s="46"/>
    </row>
    <row r="75" spans="1:21" ht="15" customHeight="1">
      <c r="A75" s="46"/>
      <c r="B75" s="23">
        <f t="shared" si="3"/>
        <v>52</v>
      </c>
      <c r="C75" s="194">
        <f t="shared" si="5"/>
        <v>2.5499999999999989</v>
      </c>
      <c r="D75" s="196">
        <f t="shared" si="1"/>
        <v>96.6</v>
      </c>
      <c r="E75" s="193">
        <f t="shared" si="4"/>
        <v>1.3521659507839663</v>
      </c>
      <c r="F75" s="58"/>
      <c r="G75" s="46"/>
      <c r="H75" s="46"/>
      <c r="I75" s="46"/>
      <c r="J75" s="46"/>
      <c r="K75" s="46"/>
      <c r="L75" s="46"/>
      <c r="M75" s="46"/>
      <c r="N75" s="46"/>
      <c r="O75" s="46"/>
      <c r="P75" s="46"/>
      <c r="Q75" s="23">
        <v>52</v>
      </c>
      <c r="R75" s="297">
        <v>2.5499999999999989</v>
      </c>
      <c r="S75" s="299">
        <v>98</v>
      </c>
      <c r="T75" s="298">
        <f t="shared" si="2"/>
        <v>1.588656469448565</v>
      </c>
      <c r="U75" s="46"/>
    </row>
    <row r="76" spans="1:21" ht="15" customHeight="1">
      <c r="A76" s="46"/>
      <c r="B76" s="23">
        <f t="shared" si="3"/>
        <v>53</v>
      </c>
      <c r="C76" s="194">
        <f t="shared" si="5"/>
        <v>2.5999999999999988</v>
      </c>
      <c r="D76" s="196">
        <f t="shared" si="1"/>
        <v>95.899999999999991</v>
      </c>
      <c r="E76" s="193">
        <f t="shared" si="4"/>
        <v>1.2474696709648392</v>
      </c>
      <c r="F76" s="58"/>
      <c r="G76" s="46"/>
      <c r="H76" s="46"/>
      <c r="I76" s="46"/>
      <c r="J76" s="46"/>
      <c r="K76" s="46"/>
      <c r="L76" s="46"/>
      <c r="M76" s="46"/>
      <c r="N76" s="46"/>
      <c r="O76" s="46"/>
      <c r="P76" s="46"/>
      <c r="Q76" s="23">
        <v>53</v>
      </c>
      <c r="R76" s="297">
        <v>2.5999999999999988</v>
      </c>
      <c r="S76" s="299">
        <v>97.3</v>
      </c>
      <c r="T76" s="298">
        <f t="shared" si="2"/>
        <v>1.4656490662778106</v>
      </c>
      <c r="U76" s="46"/>
    </row>
    <row r="77" spans="1:21" ht="15" customHeight="1">
      <c r="A77" s="46"/>
      <c r="B77" s="23">
        <f t="shared" si="3"/>
        <v>54</v>
      </c>
      <c r="C77" s="194">
        <f t="shared" si="5"/>
        <v>2.6499999999999986</v>
      </c>
      <c r="D77" s="196">
        <f t="shared" si="1"/>
        <v>98.6</v>
      </c>
      <c r="E77" s="193">
        <f t="shared" si="4"/>
        <v>1.7022760764047546</v>
      </c>
      <c r="F77" s="58"/>
      <c r="G77" s="46"/>
      <c r="H77" s="46"/>
      <c r="I77" s="46"/>
      <c r="J77" s="46"/>
      <c r="K77" s="46"/>
      <c r="L77" s="46"/>
      <c r="M77" s="46"/>
      <c r="N77" s="46"/>
      <c r="O77" s="46"/>
      <c r="P77" s="46"/>
      <c r="Q77" s="23">
        <v>54</v>
      </c>
      <c r="R77" s="297">
        <v>2.6499999999999986</v>
      </c>
      <c r="S77" s="299">
        <v>100</v>
      </c>
      <c r="T77" s="298">
        <f t="shared" si="2"/>
        <v>2</v>
      </c>
      <c r="U77" s="46"/>
    </row>
    <row r="78" spans="1:21" ht="15" customHeight="1">
      <c r="A78" s="46"/>
      <c r="B78" s="23">
        <f t="shared" si="3"/>
        <v>55</v>
      </c>
      <c r="C78" s="194">
        <f t="shared" si="5"/>
        <v>2.6999999999999984</v>
      </c>
      <c r="D78" s="196">
        <f t="shared" si="1"/>
        <v>98.399999999999991</v>
      </c>
      <c r="E78" s="193">
        <f t="shared" si="4"/>
        <v>1.6635275422053437</v>
      </c>
      <c r="F78" s="58"/>
      <c r="G78" s="46"/>
      <c r="H78" s="46"/>
      <c r="I78" s="46"/>
      <c r="J78" s="46"/>
      <c r="K78" s="46"/>
      <c r="L78" s="46"/>
      <c r="M78" s="46"/>
      <c r="N78" s="46"/>
      <c r="O78" s="46"/>
      <c r="P78" s="46"/>
      <c r="Q78" s="23">
        <v>55</v>
      </c>
      <c r="R78" s="297">
        <v>2.6999999999999984</v>
      </c>
      <c r="S78" s="299">
        <v>99.8</v>
      </c>
      <c r="T78" s="298">
        <f t="shared" si="2"/>
        <v>1.9544744419116256</v>
      </c>
      <c r="U78" s="46"/>
    </row>
    <row r="79" spans="1:21" ht="15" customHeight="1">
      <c r="A79" s="46"/>
      <c r="B79" s="23">
        <f t="shared" si="3"/>
        <v>56</v>
      </c>
      <c r="C79" s="194">
        <f t="shared" si="5"/>
        <v>2.7499999999999982</v>
      </c>
      <c r="D79" s="196">
        <f t="shared" si="1"/>
        <v>96.6</v>
      </c>
      <c r="E79" s="193">
        <f t="shared" si="4"/>
        <v>1.3521659507839663</v>
      </c>
      <c r="F79" s="58"/>
      <c r="G79" s="46"/>
      <c r="H79" s="46"/>
      <c r="I79" s="46"/>
      <c r="J79" s="46"/>
      <c r="K79" s="46"/>
      <c r="L79" s="46"/>
      <c r="M79" s="46"/>
      <c r="N79" s="46"/>
      <c r="O79" s="46"/>
      <c r="P79" s="46"/>
      <c r="Q79" s="23">
        <v>56</v>
      </c>
      <c r="R79" s="297">
        <v>2.7499999999999982</v>
      </c>
      <c r="S79" s="299">
        <v>98</v>
      </c>
      <c r="T79" s="298">
        <f t="shared" si="2"/>
        <v>1.588656469448565</v>
      </c>
      <c r="U79" s="46"/>
    </row>
    <row r="80" spans="1:21" ht="15" customHeight="1">
      <c r="A80" s="46"/>
      <c r="B80" s="23">
        <f t="shared" si="3"/>
        <v>57</v>
      </c>
      <c r="C80" s="194">
        <f t="shared" si="5"/>
        <v>2.799999999999998</v>
      </c>
      <c r="D80" s="196">
        <f t="shared" si="1"/>
        <v>95.899999999999991</v>
      </c>
      <c r="E80" s="193">
        <f t="shared" si="4"/>
        <v>1.2474696709648392</v>
      </c>
      <c r="F80" s="58"/>
      <c r="G80" s="46"/>
      <c r="H80" s="46"/>
      <c r="I80" s="46"/>
      <c r="J80" s="46"/>
      <c r="K80" s="46"/>
      <c r="L80" s="46"/>
      <c r="M80" s="46"/>
      <c r="N80" s="46"/>
      <c r="O80" s="46"/>
      <c r="P80" s="46"/>
      <c r="Q80" s="23">
        <v>57</v>
      </c>
      <c r="R80" s="297">
        <v>2.799999999999998</v>
      </c>
      <c r="S80" s="299">
        <v>97.3</v>
      </c>
      <c r="T80" s="298">
        <f t="shared" si="2"/>
        <v>1.4656490662778106</v>
      </c>
      <c r="U80" s="46"/>
    </row>
    <row r="81" spans="1:21" ht="15" customHeight="1">
      <c r="A81" s="46"/>
      <c r="B81" s="23">
        <f t="shared" si="3"/>
        <v>58</v>
      </c>
      <c r="C81" s="194">
        <f t="shared" si="5"/>
        <v>2.8499999999999979</v>
      </c>
      <c r="D81" s="196">
        <f t="shared" si="1"/>
        <v>97</v>
      </c>
      <c r="E81" s="193">
        <f t="shared" si="4"/>
        <v>1.4158915687682758</v>
      </c>
      <c r="F81" s="58"/>
      <c r="G81" s="46"/>
      <c r="H81" s="46"/>
      <c r="I81" s="46"/>
      <c r="J81" s="46"/>
      <c r="K81" s="46"/>
      <c r="L81" s="46"/>
      <c r="M81" s="46"/>
      <c r="N81" s="46"/>
      <c r="O81" s="46"/>
      <c r="P81" s="46"/>
      <c r="Q81" s="23">
        <v>58</v>
      </c>
      <c r="R81" s="297">
        <v>2.8499999999999979</v>
      </c>
      <c r="S81" s="299">
        <v>98.4</v>
      </c>
      <c r="T81" s="298">
        <f t="shared" si="2"/>
        <v>1.6635275422053437</v>
      </c>
      <c r="U81" s="46"/>
    </row>
    <row r="82" spans="1:21" ht="15" customHeight="1">
      <c r="A82" s="46"/>
      <c r="B82" s="23">
        <f t="shared" si="3"/>
        <v>59</v>
      </c>
      <c r="C82" s="194">
        <f t="shared" si="5"/>
        <v>2.8999999999999977</v>
      </c>
      <c r="D82" s="196">
        <f t="shared" si="1"/>
        <v>98.699999999999989</v>
      </c>
      <c r="E82" s="193">
        <f t="shared" si="4"/>
        <v>1.7219875043692028</v>
      </c>
      <c r="F82" s="58"/>
      <c r="G82" s="46"/>
      <c r="H82" s="46"/>
      <c r="I82" s="46"/>
      <c r="J82" s="46"/>
      <c r="K82" s="46"/>
      <c r="L82" s="46"/>
      <c r="M82" s="46"/>
      <c r="N82" s="46"/>
      <c r="O82" s="46"/>
      <c r="P82" s="46"/>
      <c r="Q82" s="23">
        <v>59</v>
      </c>
      <c r="R82" s="297">
        <v>2.8999999999999977</v>
      </c>
      <c r="S82" s="299">
        <v>100.1</v>
      </c>
      <c r="T82" s="298">
        <f t="shared" si="2"/>
        <v>2.0231589085197976</v>
      </c>
      <c r="U82" s="46"/>
    </row>
    <row r="83" spans="1:21">
      <c r="A83" s="46"/>
      <c r="B83" s="23">
        <f t="shared" si="3"/>
        <v>60</v>
      </c>
      <c r="C83" s="194">
        <f t="shared" si="5"/>
        <v>2.9499999999999975</v>
      </c>
      <c r="D83" s="196">
        <f t="shared" si="1"/>
        <v>100.19999999999999</v>
      </c>
      <c r="E83" s="193">
        <f t="shared" si="4"/>
        <v>2.0465859845615086</v>
      </c>
      <c r="F83" s="46"/>
      <c r="G83" s="46"/>
      <c r="H83" s="88"/>
      <c r="I83" s="11"/>
      <c r="J83" s="46"/>
      <c r="K83" s="46"/>
      <c r="L83" s="46"/>
      <c r="M83" s="46"/>
      <c r="N83" s="46"/>
      <c r="O83" s="46"/>
      <c r="P83" s="46"/>
      <c r="Q83" s="23">
        <v>60</v>
      </c>
      <c r="R83" s="297">
        <v>2.9499999999999975</v>
      </c>
      <c r="S83" s="299">
        <v>101.6</v>
      </c>
      <c r="T83" s="298">
        <f t="shared" si="2"/>
        <v>2.404528869234829</v>
      </c>
      <c r="U83" s="46"/>
    </row>
    <row r="84" spans="1:21">
      <c r="A84" s="46"/>
      <c r="B84" s="23">
        <f t="shared" si="3"/>
        <v>61</v>
      </c>
      <c r="C84" s="194">
        <f t="shared" si="5"/>
        <v>2.9999999999999973</v>
      </c>
      <c r="D84" s="196">
        <f t="shared" si="1"/>
        <v>99.1</v>
      </c>
      <c r="E84" s="193">
        <f t="shared" si="4"/>
        <v>1.8031422752119151</v>
      </c>
      <c r="F84" s="46"/>
      <c r="G84" s="46"/>
      <c r="H84" s="88"/>
      <c r="I84" s="11"/>
      <c r="J84" s="46"/>
      <c r="K84" s="46"/>
      <c r="L84" s="46"/>
      <c r="M84" s="46"/>
      <c r="N84" s="46"/>
      <c r="O84" s="46"/>
      <c r="P84" s="46"/>
      <c r="Q84" s="23">
        <v>61</v>
      </c>
      <c r="R84" s="297">
        <v>2.9999999999999973</v>
      </c>
      <c r="S84" s="299">
        <v>100.5</v>
      </c>
      <c r="T84" s="298">
        <f t="shared" si="2"/>
        <v>2.1185074503545818</v>
      </c>
      <c r="U84" s="46"/>
    </row>
    <row r="85" spans="1:21">
      <c r="A85" s="46"/>
      <c r="B85" s="178">
        <f t="shared" si="3"/>
        <v>62</v>
      </c>
      <c r="C85" s="194">
        <f t="shared" si="5"/>
        <v>3.0499999999999972</v>
      </c>
      <c r="D85" s="196">
        <f t="shared" si="1"/>
        <v>97.6</v>
      </c>
      <c r="E85" s="193">
        <f t="shared" si="4"/>
        <v>1.5171551500583698</v>
      </c>
      <c r="F85" s="46"/>
      <c r="G85" s="46"/>
      <c r="H85" s="46"/>
      <c r="I85" s="46"/>
      <c r="J85" s="46"/>
      <c r="K85" s="46"/>
      <c r="L85" s="46"/>
      <c r="M85" s="46"/>
      <c r="N85" s="46"/>
      <c r="O85" s="46"/>
      <c r="P85" s="46"/>
      <c r="Q85" s="23">
        <v>62</v>
      </c>
      <c r="R85" s="297">
        <v>3.0499999999999972</v>
      </c>
      <c r="S85" s="299">
        <v>99</v>
      </c>
      <c r="T85" s="298">
        <f t="shared" si="2"/>
        <v>1.7825018762674922</v>
      </c>
      <c r="U85" s="46"/>
    </row>
    <row r="86" spans="1:21">
      <c r="A86" s="46"/>
      <c r="B86" s="178">
        <f t="shared" si="3"/>
        <v>63</v>
      </c>
      <c r="C86" s="194">
        <f t="shared" si="5"/>
        <v>3.099999999999997</v>
      </c>
      <c r="D86" s="196">
        <f t="shared" si="1"/>
        <v>96.6</v>
      </c>
      <c r="E86" s="193">
        <f t="shared" si="4"/>
        <v>1.3521659507839663</v>
      </c>
      <c r="F86" s="46"/>
      <c r="G86" s="46"/>
      <c r="H86" s="46"/>
      <c r="I86" s="46"/>
      <c r="J86" s="46"/>
      <c r="K86" s="46"/>
      <c r="L86" s="46"/>
      <c r="M86" s="46"/>
      <c r="N86" s="46"/>
      <c r="O86" s="46"/>
      <c r="P86" s="46"/>
      <c r="Q86" s="23">
        <v>63</v>
      </c>
      <c r="R86" s="297">
        <v>3.099999999999997</v>
      </c>
      <c r="S86" s="299">
        <v>98</v>
      </c>
      <c r="T86" s="298">
        <f t="shared" si="2"/>
        <v>1.588656469448565</v>
      </c>
      <c r="U86" s="46"/>
    </row>
    <row r="87" spans="1:21">
      <c r="A87" s="46"/>
      <c r="B87" s="178">
        <f t="shared" si="3"/>
        <v>64</v>
      </c>
      <c r="C87" s="194">
        <f t="shared" si="5"/>
        <v>3.1499999999999968</v>
      </c>
      <c r="D87" s="196">
        <f t="shared" si="1"/>
        <v>95.5</v>
      </c>
      <c r="E87" s="193">
        <f t="shared" si="4"/>
        <v>1.1913242870580238</v>
      </c>
      <c r="F87" s="46"/>
      <c r="G87" s="46"/>
      <c r="H87" s="46"/>
      <c r="I87" s="46"/>
      <c r="J87" s="46"/>
      <c r="K87" s="46"/>
      <c r="L87" s="46"/>
      <c r="M87" s="46"/>
      <c r="N87" s="46"/>
      <c r="O87" s="46"/>
      <c r="P87" s="46"/>
      <c r="Q87" s="23">
        <v>64</v>
      </c>
      <c r="R87" s="297">
        <v>3.1499999999999968</v>
      </c>
      <c r="S87" s="299">
        <v>96.9</v>
      </c>
      <c r="T87" s="298">
        <f t="shared" si="2"/>
        <v>1.3996839920045494</v>
      </c>
      <c r="U87" s="46"/>
    </row>
    <row r="88" spans="1:21">
      <c r="A88" s="46"/>
      <c r="B88" s="178">
        <f t="shared" si="3"/>
        <v>65</v>
      </c>
      <c r="C88" s="194">
        <f t="shared" si="5"/>
        <v>3.1999999999999966</v>
      </c>
      <c r="D88" s="196">
        <f t="shared" si="1"/>
        <v>95.6</v>
      </c>
      <c r="E88" s="193">
        <f t="shared" si="4"/>
        <v>1.205119172148714</v>
      </c>
      <c r="F88" s="46"/>
      <c r="G88" s="46"/>
      <c r="H88" s="46"/>
      <c r="I88" s="46"/>
      <c r="J88" s="46"/>
      <c r="K88" s="46"/>
      <c r="L88" s="46"/>
      <c r="M88" s="46"/>
      <c r="N88" s="46"/>
      <c r="O88" s="46"/>
      <c r="P88" s="46"/>
      <c r="Q88" s="23">
        <v>65</v>
      </c>
      <c r="R88" s="297">
        <v>3.1999999999999966</v>
      </c>
      <c r="S88" s="299">
        <v>97</v>
      </c>
      <c r="T88" s="298">
        <f t="shared" si="2"/>
        <v>1.4158915687682758</v>
      </c>
      <c r="U88" s="46"/>
    </row>
    <row r="89" spans="1:21">
      <c r="A89" s="46"/>
      <c r="B89" s="178">
        <f t="shared" si="3"/>
        <v>66</v>
      </c>
      <c r="C89" s="194">
        <f t="shared" si="5"/>
        <v>3.2499999999999964</v>
      </c>
      <c r="D89" s="196">
        <f t="shared" ref="D89:D108" si="6">S89-1.4</f>
        <v>93.6</v>
      </c>
      <c r="E89" s="193">
        <f t="shared" si="4"/>
        <v>0.95726018464527651</v>
      </c>
      <c r="F89" s="46"/>
      <c r="G89" s="46"/>
      <c r="H89" s="46"/>
      <c r="I89" s="46"/>
      <c r="J89" s="46"/>
      <c r="K89" s="46"/>
      <c r="L89" s="46"/>
      <c r="M89" s="46"/>
      <c r="N89" s="46"/>
      <c r="O89" s="46"/>
      <c r="P89" s="46"/>
      <c r="Q89" s="23">
        <v>66</v>
      </c>
      <c r="R89" s="297">
        <v>3.2499999999999964</v>
      </c>
      <c r="S89" s="299">
        <v>95</v>
      </c>
      <c r="T89" s="298">
        <f t="shared" ref="T89:T108" si="7">0.00002*(10^(S89/20))</f>
        <v>1.124682650380699</v>
      </c>
      <c r="U89" s="46"/>
    </row>
    <row r="90" spans="1:21">
      <c r="A90" s="46"/>
      <c r="B90" s="178">
        <f t="shared" ref="B90:B108" si="8">B89+1</f>
        <v>67</v>
      </c>
      <c r="C90" s="194">
        <f t="shared" si="5"/>
        <v>3.2999999999999963</v>
      </c>
      <c r="D90" s="196">
        <f t="shared" si="6"/>
        <v>90.699999999999989</v>
      </c>
      <c r="E90" s="193">
        <f t="shared" si="4"/>
        <v>0.68553557309290036</v>
      </c>
      <c r="F90" s="46"/>
      <c r="G90" s="46"/>
      <c r="H90" s="46"/>
      <c r="I90" s="46"/>
      <c r="J90" s="46"/>
      <c r="K90" s="46"/>
      <c r="L90" s="46"/>
      <c r="M90" s="46"/>
      <c r="N90" s="46"/>
      <c r="O90" s="46"/>
      <c r="P90" s="46"/>
      <c r="Q90" s="23">
        <v>67</v>
      </c>
      <c r="R90" s="297">
        <v>3.2999999999999963</v>
      </c>
      <c r="S90" s="299">
        <v>92.1</v>
      </c>
      <c r="T90" s="298">
        <f t="shared" si="7"/>
        <v>0.8054340686509186</v>
      </c>
      <c r="U90" s="46"/>
    </row>
    <row r="91" spans="1:21">
      <c r="A91" s="46"/>
      <c r="B91" s="178">
        <f t="shared" si="8"/>
        <v>68</v>
      </c>
      <c r="C91" s="194">
        <f t="shared" si="5"/>
        <v>3.3499999999999961</v>
      </c>
      <c r="D91" s="196">
        <f t="shared" si="6"/>
        <v>89.399999999999991</v>
      </c>
      <c r="E91" s="193">
        <f t="shared" si="4"/>
        <v>0.59024184533327717</v>
      </c>
      <c r="F91" s="46"/>
      <c r="G91" s="46"/>
      <c r="H91" s="46"/>
      <c r="I91" s="46"/>
      <c r="J91" s="46"/>
      <c r="K91" s="46"/>
      <c r="L91" s="46"/>
      <c r="M91" s="46"/>
      <c r="N91" s="46"/>
      <c r="O91" s="46"/>
      <c r="P91" s="46"/>
      <c r="Q91" s="23">
        <v>68</v>
      </c>
      <c r="R91" s="297">
        <v>3.3499999999999961</v>
      </c>
      <c r="S91" s="299">
        <v>90.8</v>
      </c>
      <c r="T91" s="298">
        <f t="shared" si="7"/>
        <v>0.69347370090506411</v>
      </c>
      <c r="U91" s="46"/>
    </row>
    <row r="92" spans="1:21">
      <c r="A92" s="46"/>
      <c r="B92" s="178">
        <f t="shared" si="8"/>
        <v>69</v>
      </c>
      <c r="C92" s="194">
        <f t="shared" si="5"/>
        <v>3.3999999999999959</v>
      </c>
      <c r="D92" s="196">
        <f t="shared" si="6"/>
        <v>88</v>
      </c>
      <c r="E92" s="193">
        <f t="shared" si="4"/>
        <v>0.50237728630191725</v>
      </c>
      <c r="F92" s="46"/>
      <c r="G92" s="46"/>
      <c r="H92" s="46"/>
      <c r="I92" s="46"/>
      <c r="J92" s="46"/>
      <c r="K92" s="46"/>
      <c r="L92" s="46"/>
      <c r="M92" s="46"/>
      <c r="N92" s="46"/>
      <c r="O92" s="46"/>
      <c r="P92" s="46"/>
      <c r="Q92" s="23">
        <v>69</v>
      </c>
      <c r="R92" s="297">
        <v>3.3999999999999959</v>
      </c>
      <c r="S92" s="299">
        <v>89.4</v>
      </c>
      <c r="T92" s="298">
        <f t="shared" si="7"/>
        <v>0.59024184533327828</v>
      </c>
      <c r="U92" s="46"/>
    </row>
    <row r="93" spans="1:21">
      <c r="A93" s="46"/>
      <c r="B93" s="178">
        <f t="shared" si="8"/>
        <v>70</v>
      </c>
      <c r="C93" s="194">
        <f t="shared" si="5"/>
        <v>3.4499999999999957</v>
      </c>
      <c r="D93" s="196">
        <f t="shared" si="6"/>
        <v>86.6</v>
      </c>
      <c r="E93" s="193">
        <f t="shared" si="4"/>
        <v>0.427592417900447</v>
      </c>
      <c r="F93" s="46"/>
      <c r="G93" s="46"/>
      <c r="H93" s="46"/>
      <c r="I93" s="46"/>
      <c r="J93" s="46"/>
      <c r="K93" s="46"/>
      <c r="L93" s="46"/>
      <c r="M93" s="46"/>
      <c r="N93" s="46"/>
      <c r="O93" s="46"/>
      <c r="P93" s="46"/>
      <c r="Q93" s="23">
        <v>70</v>
      </c>
      <c r="R93" s="297">
        <v>3.4499999999999957</v>
      </c>
      <c r="S93" s="299">
        <v>88</v>
      </c>
      <c r="T93" s="298">
        <f t="shared" si="7"/>
        <v>0.50237728630191725</v>
      </c>
      <c r="U93" s="46"/>
    </row>
    <row r="94" spans="1:21">
      <c r="A94" s="46"/>
      <c r="B94" s="178">
        <f t="shared" si="8"/>
        <v>71</v>
      </c>
      <c r="C94" s="194">
        <f t="shared" si="5"/>
        <v>3.4999999999999956</v>
      </c>
      <c r="D94" s="196">
        <f t="shared" si="6"/>
        <v>85.6</v>
      </c>
      <c r="E94" s="193">
        <f t="shared" si="4"/>
        <v>0.38109214359264948</v>
      </c>
      <c r="F94" s="46"/>
      <c r="G94" s="46"/>
      <c r="H94" s="46"/>
      <c r="I94" s="46"/>
      <c r="J94" s="46"/>
      <c r="K94" s="46"/>
      <c r="L94" s="46"/>
      <c r="M94" s="46"/>
      <c r="N94" s="46"/>
      <c r="O94" s="46"/>
      <c r="P94" s="46"/>
      <c r="Q94" s="23">
        <v>71</v>
      </c>
      <c r="R94" s="297">
        <v>3.4999999999999956</v>
      </c>
      <c r="S94" s="299">
        <v>87</v>
      </c>
      <c r="T94" s="298">
        <f t="shared" si="7"/>
        <v>0.44774422771366768</v>
      </c>
      <c r="U94" s="46"/>
    </row>
    <row r="95" spans="1:21">
      <c r="A95" s="46"/>
      <c r="B95" s="178">
        <f t="shared" si="8"/>
        <v>72</v>
      </c>
      <c r="C95" s="194">
        <f t="shared" si="5"/>
        <v>3.5499999999999954</v>
      </c>
      <c r="D95" s="196">
        <f t="shared" si="6"/>
        <v>84.5</v>
      </c>
      <c r="E95" s="193">
        <f t="shared" si="4"/>
        <v>0.33576080362451227</v>
      </c>
      <c r="F95" s="46"/>
      <c r="G95" s="46"/>
      <c r="H95" s="46"/>
      <c r="I95" s="46"/>
      <c r="J95" s="46"/>
      <c r="K95" s="46"/>
      <c r="L95" s="46"/>
      <c r="M95" s="46"/>
      <c r="N95" s="46"/>
      <c r="O95" s="46"/>
      <c r="P95" s="46"/>
      <c r="Q95" s="23">
        <v>72</v>
      </c>
      <c r="R95" s="297">
        <v>3.5499999999999954</v>
      </c>
      <c r="S95" s="299">
        <v>85.9</v>
      </c>
      <c r="T95" s="298">
        <f t="shared" si="7"/>
        <v>0.39448454722297138</v>
      </c>
      <c r="U95" s="46"/>
    </row>
    <row r="96" spans="1:21">
      <c r="A96" s="46"/>
      <c r="B96" s="178">
        <f t="shared" si="8"/>
        <v>73</v>
      </c>
      <c r="C96" s="194">
        <f t="shared" si="5"/>
        <v>3.5999999999999952</v>
      </c>
      <c r="D96" s="196">
        <f t="shared" si="6"/>
        <v>83.6</v>
      </c>
      <c r="E96" s="193">
        <f t="shared" si="4"/>
        <v>0.30271224968724197</v>
      </c>
      <c r="F96" s="46"/>
      <c r="G96" s="46"/>
      <c r="H96" s="46"/>
      <c r="I96" s="46"/>
      <c r="J96" s="46"/>
      <c r="K96" s="46"/>
      <c r="L96" s="46"/>
      <c r="M96" s="46"/>
      <c r="N96" s="46"/>
      <c r="O96" s="46"/>
      <c r="P96" s="46"/>
      <c r="Q96" s="23">
        <v>73</v>
      </c>
      <c r="R96" s="297">
        <v>3.5999999999999952</v>
      </c>
      <c r="S96" s="299">
        <v>85</v>
      </c>
      <c r="T96" s="298">
        <f t="shared" si="7"/>
        <v>0.3556558820077847</v>
      </c>
      <c r="U96" s="46"/>
    </row>
    <row r="97" spans="1:21">
      <c r="A97" s="46"/>
      <c r="B97" s="178">
        <f t="shared" si="8"/>
        <v>74</v>
      </c>
      <c r="C97" s="194">
        <f t="shared" si="5"/>
        <v>3.649999999999995</v>
      </c>
      <c r="D97" s="196">
        <f t="shared" si="6"/>
        <v>81.099999999999994</v>
      </c>
      <c r="E97" s="193">
        <f t="shared" si="4"/>
        <v>0.22700216313446309</v>
      </c>
      <c r="F97" s="46"/>
      <c r="G97" s="46"/>
      <c r="H97" s="46"/>
      <c r="I97" s="46"/>
      <c r="J97" s="46"/>
      <c r="K97" s="46"/>
      <c r="L97" s="46"/>
      <c r="M97" s="46"/>
      <c r="N97" s="46"/>
      <c r="O97" s="46"/>
      <c r="P97" s="46"/>
      <c r="Q97" s="23">
        <v>74</v>
      </c>
      <c r="R97" s="297">
        <v>3.649999999999995</v>
      </c>
      <c r="S97" s="299">
        <v>82.5</v>
      </c>
      <c r="T97" s="298">
        <f t="shared" si="7"/>
        <v>0.26670428643266519</v>
      </c>
      <c r="U97" s="46"/>
    </row>
    <row r="98" spans="1:21">
      <c r="A98" s="46"/>
      <c r="B98" s="178">
        <f t="shared" si="8"/>
        <v>75</v>
      </c>
      <c r="C98" s="194">
        <f t="shared" si="5"/>
        <v>3.6999999999999948</v>
      </c>
      <c r="D98" s="196">
        <f t="shared" si="6"/>
        <v>80.3</v>
      </c>
      <c r="E98" s="193">
        <f t="shared" si="4"/>
        <v>0.20702843333586893</v>
      </c>
      <c r="F98" s="46"/>
      <c r="G98" s="46"/>
      <c r="H98" s="46"/>
      <c r="I98" s="46"/>
      <c r="J98" s="46"/>
      <c r="K98" s="46"/>
      <c r="L98" s="46"/>
      <c r="M98" s="46"/>
      <c r="N98" s="46"/>
      <c r="O98" s="46"/>
      <c r="P98" s="46"/>
      <c r="Q98" s="23">
        <v>75</v>
      </c>
      <c r="R98" s="297">
        <v>3.6999999999999948</v>
      </c>
      <c r="S98" s="299">
        <v>81.7</v>
      </c>
      <c r="T98" s="298">
        <f t="shared" si="7"/>
        <v>0.24323720012927363</v>
      </c>
      <c r="U98" s="46"/>
    </row>
    <row r="99" spans="1:21">
      <c r="A99" s="46"/>
      <c r="B99" s="178">
        <f t="shared" si="8"/>
        <v>76</v>
      </c>
      <c r="C99" s="194">
        <f t="shared" si="5"/>
        <v>3.7499999999999947</v>
      </c>
      <c r="D99" s="196">
        <f t="shared" si="6"/>
        <v>79.099999999999994</v>
      </c>
      <c r="E99" s="193">
        <f t="shared" si="4"/>
        <v>0.18031422752119131</v>
      </c>
      <c r="F99" s="46"/>
      <c r="G99" s="46"/>
      <c r="H99" s="46"/>
      <c r="I99" s="46"/>
      <c r="J99" s="46"/>
      <c r="K99" s="46"/>
      <c r="L99" s="46"/>
      <c r="M99" s="46"/>
      <c r="N99" s="46"/>
      <c r="O99" s="46"/>
      <c r="P99" s="46"/>
      <c r="Q99" s="23">
        <v>76</v>
      </c>
      <c r="R99" s="297">
        <v>3.7499999999999947</v>
      </c>
      <c r="S99" s="299">
        <v>80.5</v>
      </c>
      <c r="T99" s="298">
        <f t="shared" si="7"/>
        <v>0.21185074503545828</v>
      </c>
      <c r="U99" s="46"/>
    </row>
    <row r="100" spans="1:21">
      <c r="A100" s="46"/>
      <c r="B100" s="178">
        <f t="shared" si="8"/>
        <v>77</v>
      </c>
      <c r="C100" s="194">
        <f t="shared" si="5"/>
        <v>3.7999999999999945</v>
      </c>
      <c r="D100" s="196">
        <f t="shared" si="6"/>
        <v>77.8</v>
      </c>
      <c r="E100" s="193">
        <f t="shared" si="4"/>
        <v>0.15524942332573838</v>
      </c>
      <c r="F100" s="46"/>
      <c r="G100" s="46"/>
      <c r="H100" s="46"/>
      <c r="I100" s="46"/>
      <c r="J100" s="46"/>
      <c r="K100" s="46"/>
      <c r="L100" s="46"/>
      <c r="M100" s="46"/>
      <c r="N100" s="46"/>
      <c r="O100" s="46"/>
      <c r="P100" s="46"/>
      <c r="Q100" s="23">
        <v>77</v>
      </c>
      <c r="R100" s="297">
        <v>3.7999999999999945</v>
      </c>
      <c r="S100" s="299">
        <v>79.2</v>
      </c>
      <c r="T100" s="298">
        <f t="shared" si="7"/>
        <v>0.18240216787118219</v>
      </c>
      <c r="U100" s="46"/>
    </row>
    <row r="101" spans="1:21">
      <c r="A101" s="46"/>
      <c r="B101" s="178">
        <f t="shared" si="8"/>
        <v>78</v>
      </c>
      <c r="C101" s="194">
        <f t="shared" si="5"/>
        <v>3.8499999999999943</v>
      </c>
      <c r="D101" s="196">
        <v>76.7</v>
      </c>
      <c r="E101" s="193">
        <f t="shared" si="4"/>
        <v>0.13678232945628596</v>
      </c>
      <c r="F101" s="46"/>
      <c r="G101" s="46"/>
      <c r="H101" s="46"/>
      <c r="I101" s="46"/>
      <c r="J101" s="46"/>
      <c r="K101" s="46"/>
      <c r="L101" s="46"/>
      <c r="M101" s="46"/>
      <c r="N101" s="46"/>
      <c r="O101" s="46"/>
      <c r="P101" s="46"/>
      <c r="Q101" s="23">
        <v>78</v>
      </c>
      <c r="R101" s="297">
        <v>3.8499999999999943</v>
      </c>
      <c r="S101" s="299">
        <v>79.099999999999994</v>
      </c>
      <c r="T101" s="298">
        <f t="shared" si="7"/>
        <v>0.18031422752119131</v>
      </c>
      <c r="U101" s="46"/>
    </row>
    <row r="102" spans="1:21">
      <c r="A102" s="46"/>
      <c r="B102" s="178">
        <f t="shared" si="8"/>
        <v>79</v>
      </c>
      <c r="C102" s="194">
        <f t="shared" si="5"/>
        <v>3.8999999999999941</v>
      </c>
      <c r="D102" s="196">
        <f t="shared" si="6"/>
        <v>75.5</v>
      </c>
      <c r="E102" s="193">
        <f t="shared" si="4"/>
        <v>0.11913242870580223</v>
      </c>
      <c r="F102" s="46"/>
      <c r="G102" s="46"/>
      <c r="H102" s="46"/>
      <c r="I102" s="46"/>
      <c r="J102" s="46"/>
      <c r="K102" s="46"/>
      <c r="L102" s="46"/>
      <c r="M102" s="46"/>
      <c r="N102" s="46"/>
      <c r="O102" s="46"/>
      <c r="P102" s="46"/>
      <c r="Q102" s="23">
        <v>79</v>
      </c>
      <c r="R102" s="297">
        <v>3.8999999999999941</v>
      </c>
      <c r="S102" s="299">
        <v>76.900000000000006</v>
      </c>
      <c r="T102" s="298">
        <f t="shared" si="7"/>
        <v>0.13996839920045479</v>
      </c>
      <c r="U102" s="46"/>
    </row>
    <row r="103" spans="1:21">
      <c r="A103" s="46"/>
      <c r="B103" s="178">
        <f t="shared" si="8"/>
        <v>80</v>
      </c>
      <c r="C103" s="194">
        <f t="shared" si="5"/>
        <v>3.949999999999994</v>
      </c>
      <c r="D103" s="196">
        <f t="shared" si="6"/>
        <v>74.5</v>
      </c>
      <c r="E103" s="193">
        <f t="shared" si="4"/>
        <v>0.10617688884619786</v>
      </c>
      <c r="F103" s="46"/>
      <c r="G103" s="46"/>
      <c r="H103" s="46"/>
      <c r="I103" s="46"/>
      <c r="J103" s="46"/>
      <c r="K103" s="46"/>
      <c r="L103" s="46"/>
      <c r="M103" s="46"/>
      <c r="N103" s="46"/>
      <c r="O103" s="46"/>
      <c r="P103" s="46"/>
      <c r="Q103" s="23">
        <v>80</v>
      </c>
      <c r="R103" s="297">
        <v>3.949999999999994</v>
      </c>
      <c r="S103" s="299">
        <v>75.900000000000006</v>
      </c>
      <c r="T103" s="298">
        <f t="shared" si="7"/>
        <v>0.124746967096484</v>
      </c>
      <c r="U103" s="46"/>
    </row>
    <row r="104" spans="1:21">
      <c r="A104" s="46"/>
      <c r="B104" s="178">
        <f t="shared" si="8"/>
        <v>81</v>
      </c>
      <c r="C104" s="194">
        <f t="shared" si="5"/>
        <v>3.9999999999999938</v>
      </c>
      <c r="D104" s="196">
        <f t="shared" si="6"/>
        <v>73.899999999999991</v>
      </c>
      <c r="E104" s="193">
        <f t="shared" si="4"/>
        <v>9.9090038160958072E-2</v>
      </c>
      <c r="F104" s="46"/>
      <c r="G104" s="46"/>
      <c r="H104" s="46"/>
      <c r="I104" s="46"/>
      <c r="J104" s="46"/>
      <c r="K104" s="46"/>
      <c r="L104" s="46"/>
      <c r="M104" s="46"/>
      <c r="N104" s="46"/>
      <c r="O104" s="46"/>
      <c r="P104" s="46"/>
      <c r="Q104" s="23">
        <v>81</v>
      </c>
      <c r="R104" s="297">
        <v>3.9999999999999938</v>
      </c>
      <c r="S104" s="299">
        <v>75.3</v>
      </c>
      <c r="T104" s="298">
        <f t="shared" si="7"/>
        <v>0.11642064355417425</v>
      </c>
      <c r="U104" s="46"/>
    </row>
    <row r="105" spans="1:21">
      <c r="A105" s="46"/>
      <c r="B105" s="178">
        <f t="shared" si="8"/>
        <v>82</v>
      </c>
      <c r="C105" s="194">
        <f t="shared" si="5"/>
        <v>4.0499999999999936</v>
      </c>
      <c r="D105" s="196">
        <f t="shared" si="6"/>
        <v>72.899999999999991</v>
      </c>
      <c r="E105" s="193">
        <f t="shared" si="4"/>
        <v>8.831408947066241E-2</v>
      </c>
      <c r="F105" s="46"/>
      <c r="G105" s="46"/>
      <c r="H105" s="46"/>
      <c r="I105" s="46"/>
      <c r="J105" s="46"/>
      <c r="K105" s="46"/>
      <c r="L105" s="46"/>
      <c r="M105" s="46"/>
      <c r="N105" s="46"/>
      <c r="O105" s="46"/>
      <c r="P105" s="46"/>
      <c r="Q105" s="23">
        <v>82</v>
      </c>
      <c r="R105" s="297">
        <v>4.0499999999999936</v>
      </c>
      <c r="S105" s="299">
        <v>74.3</v>
      </c>
      <c r="T105" s="298">
        <f t="shared" si="7"/>
        <v>0.10376000778579222</v>
      </c>
      <c r="U105" s="46"/>
    </row>
    <row r="106" spans="1:21">
      <c r="A106" s="46"/>
      <c r="B106" s="178">
        <f t="shared" si="8"/>
        <v>83</v>
      </c>
      <c r="C106" s="194">
        <f t="shared" si="5"/>
        <v>4.0999999999999934</v>
      </c>
      <c r="D106" s="196">
        <f t="shared" si="6"/>
        <v>71.699999999999989</v>
      </c>
      <c r="E106" s="193">
        <f t="shared" si="4"/>
        <v>7.6918356409070687E-2</v>
      </c>
      <c r="F106" s="46"/>
      <c r="G106" s="46"/>
      <c r="H106" s="46"/>
      <c r="I106" s="46"/>
      <c r="J106" s="46"/>
      <c r="K106" s="46"/>
      <c r="L106" s="46"/>
      <c r="M106" s="46"/>
      <c r="N106" s="46"/>
      <c r="O106" s="46"/>
      <c r="P106" s="46"/>
      <c r="Q106" s="23">
        <v>83</v>
      </c>
      <c r="R106" s="297">
        <v>4.0999999999999934</v>
      </c>
      <c r="S106" s="299">
        <v>73.099999999999994</v>
      </c>
      <c r="T106" s="298">
        <f t="shared" si="7"/>
        <v>9.0371188874984534E-2</v>
      </c>
      <c r="U106" s="46"/>
    </row>
    <row r="107" spans="1:21">
      <c r="A107" s="46"/>
      <c r="B107" s="178">
        <f t="shared" si="8"/>
        <v>84</v>
      </c>
      <c r="C107" s="194">
        <f t="shared" si="5"/>
        <v>4.1499999999999932</v>
      </c>
      <c r="D107" s="196">
        <v>71</v>
      </c>
      <c r="E107" s="193">
        <f t="shared" si="4"/>
        <v>7.0962677846715089E-2</v>
      </c>
      <c r="F107" s="46"/>
      <c r="G107" s="46"/>
      <c r="H107" s="46"/>
      <c r="I107" s="46"/>
      <c r="J107" s="46"/>
      <c r="K107" s="46"/>
      <c r="L107" s="46"/>
      <c r="M107" s="46"/>
      <c r="N107" s="46"/>
      <c r="O107" s="46"/>
      <c r="P107" s="46"/>
      <c r="Q107" s="23">
        <v>84</v>
      </c>
      <c r="R107" s="297">
        <v>4.1499999999999932</v>
      </c>
      <c r="S107" s="299">
        <v>74.2</v>
      </c>
      <c r="T107" s="298">
        <f t="shared" si="7"/>
        <v>0.10257227679827299</v>
      </c>
      <c r="U107" s="46"/>
    </row>
    <row r="108" spans="1:21">
      <c r="A108" s="46"/>
      <c r="B108" s="178">
        <f t="shared" si="8"/>
        <v>85</v>
      </c>
      <c r="C108" s="194">
        <f t="shared" si="5"/>
        <v>4.1999999999999931</v>
      </c>
      <c r="D108" s="196">
        <f t="shared" si="6"/>
        <v>70.599999999999994</v>
      </c>
      <c r="E108" s="193">
        <f t="shared" si="4"/>
        <v>6.7768831227840512E-2</v>
      </c>
      <c r="F108" s="46"/>
      <c r="G108" s="46"/>
      <c r="H108" s="46"/>
      <c r="I108" s="46"/>
      <c r="J108" s="46"/>
      <c r="K108" s="46"/>
      <c r="L108" s="46"/>
      <c r="M108" s="46"/>
      <c r="N108" s="46"/>
      <c r="O108" s="46"/>
      <c r="P108" s="46"/>
      <c r="Q108" s="23">
        <v>85</v>
      </c>
      <c r="R108" s="297">
        <v>4.1999999999999931</v>
      </c>
      <c r="S108" s="299">
        <v>72</v>
      </c>
      <c r="T108" s="298">
        <f t="shared" si="7"/>
        <v>7.9621434110699538E-2</v>
      </c>
      <c r="U108" s="46"/>
    </row>
    <row r="109" spans="1:21">
      <c r="A109" s="46"/>
      <c r="B109" s="46"/>
      <c r="C109" s="46"/>
      <c r="D109" s="46"/>
      <c r="E109" s="46"/>
      <c r="F109" s="46"/>
      <c r="G109" s="46"/>
      <c r="H109" s="46"/>
      <c r="I109" s="46"/>
      <c r="J109" s="46"/>
      <c r="K109" s="46"/>
      <c r="L109" s="46"/>
      <c r="M109" s="46"/>
      <c r="N109" s="46"/>
      <c r="O109" s="46"/>
      <c r="P109" s="46"/>
      <c r="Q109" s="46"/>
      <c r="R109" s="46"/>
      <c r="S109" s="46"/>
      <c r="T109" s="46"/>
      <c r="U109" s="46"/>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199"/>
  <sheetViews>
    <sheetView zoomScale="90" zoomScaleNormal="90" workbookViewId="0">
      <selection activeCell="K18" sqref="K18"/>
    </sheetView>
  </sheetViews>
  <sheetFormatPr defaultColWidth="9.1796875" defaultRowHeight="14.5"/>
  <cols>
    <col min="1" max="1" width="9.1796875" style="40"/>
    <col min="2" max="2" width="12.7265625" style="40" customWidth="1"/>
    <col min="3" max="3" width="10.453125" style="40" customWidth="1"/>
    <col min="4" max="4" width="11.7265625" style="40" customWidth="1"/>
    <col min="5" max="5" width="11" style="40" customWidth="1"/>
    <col min="6" max="6" width="14.1796875" style="40" customWidth="1"/>
    <col min="7" max="7" width="12.7265625" style="40" customWidth="1"/>
    <col min="8" max="8" width="10.453125" style="40" customWidth="1"/>
    <col min="9" max="9" width="11.7265625" style="40" customWidth="1"/>
    <col min="10" max="10" width="11" style="40" customWidth="1"/>
    <col min="11" max="11" width="14.1796875" style="40" customWidth="1"/>
    <col min="12" max="12" width="12.7265625" style="40" customWidth="1"/>
    <col min="13" max="13" width="10.453125" style="40" customWidth="1"/>
    <col min="14" max="14" width="13" style="40" customWidth="1"/>
    <col min="15" max="15" width="11" style="40" customWidth="1"/>
    <col min="16" max="16" width="14.1796875" style="40" customWidth="1"/>
    <col min="17" max="17" width="12.7265625" style="40" customWidth="1"/>
    <col min="18" max="18" width="10.453125" style="40" customWidth="1"/>
    <col min="19" max="19" width="11.7265625" style="40" customWidth="1"/>
    <col min="20" max="20" width="11" style="40" customWidth="1"/>
    <col min="21" max="21" width="14.1796875" style="40" customWidth="1"/>
    <col min="22" max="16384" width="9.1796875" style="40"/>
  </cols>
  <sheetData>
    <row r="1" spans="1:22">
      <c r="A1" s="46"/>
      <c r="B1" s="46"/>
      <c r="C1" s="46"/>
      <c r="D1" s="46"/>
      <c r="E1" s="46"/>
      <c r="F1" s="46"/>
      <c r="G1" s="46"/>
      <c r="H1" s="46"/>
      <c r="I1" s="46"/>
      <c r="J1" s="46"/>
      <c r="K1" s="46"/>
      <c r="L1" s="46"/>
      <c r="M1" s="46"/>
      <c r="N1" s="46"/>
      <c r="O1" s="46"/>
      <c r="P1" s="46"/>
      <c r="Q1" s="46"/>
      <c r="R1" s="46"/>
      <c r="S1" s="46"/>
      <c r="T1" s="46"/>
      <c r="U1" s="46"/>
      <c r="V1" s="46"/>
    </row>
    <row r="2" spans="1:22">
      <c r="A2" s="46"/>
      <c r="B2" s="7"/>
      <c r="C2" s="8"/>
      <c r="D2" s="8"/>
      <c r="E2" s="8"/>
      <c r="F2" s="8"/>
      <c r="G2" s="8"/>
      <c r="H2" s="8"/>
      <c r="I2" s="8"/>
      <c r="J2" s="8"/>
      <c r="K2" s="8"/>
      <c r="L2" s="8"/>
      <c r="M2" s="8"/>
      <c r="N2" s="8"/>
      <c r="O2" s="8"/>
      <c r="P2" s="8"/>
      <c r="Q2" s="8"/>
      <c r="R2" s="8"/>
      <c r="S2" s="8"/>
      <c r="T2" s="8"/>
      <c r="U2" s="9"/>
      <c r="V2" s="46"/>
    </row>
    <row r="3" spans="1:22">
      <c r="A3" s="46"/>
      <c r="B3" s="10"/>
      <c r="C3" s="11"/>
      <c r="D3" s="11"/>
      <c r="E3" s="11"/>
      <c r="F3" s="11"/>
      <c r="G3" s="11"/>
      <c r="H3" s="11" t="s">
        <v>2</v>
      </c>
      <c r="I3" s="11"/>
      <c r="J3" s="11"/>
      <c r="K3" s="11"/>
      <c r="L3" s="11"/>
      <c r="M3" s="11"/>
      <c r="N3" s="11"/>
      <c r="O3" s="11"/>
      <c r="P3" s="11"/>
      <c r="Q3" s="11"/>
      <c r="R3" s="11"/>
      <c r="S3" s="11"/>
      <c r="T3" s="11"/>
      <c r="U3" s="12"/>
      <c r="V3" s="46"/>
    </row>
    <row r="4" spans="1:22">
      <c r="A4" s="46"/>
      <c r="B4" s="10"/>
      <c r="C4" s="11"/>
      <c r="D4" s="11"/>
      <c r="E4" s="11"/>
      <c r="F4" s="11"/>
      <c r="G4" s="11"/>
      <c r="H4" s="11" t="s">
        <v>4</v>
      </c>
      <c r="I4" s="11"/>
      <c r="J4" s="11"/>
      <c r="K4" s="11"/>
      <c r="L4" s="11"/>
      <c r="M4" s="11"/>
      <c r="N4" s="11"/>
      <c r="O4" s="11"/>
      <c r="P4" s="11"/>
      <c r="Q4" s="11"/>
      <c r="R4" s="11"/>
      <c r="S4" s="11"/>
      <c r="T4" s="11"/>
      <c r="U4" s="12"/>
      <c r="V4" s="46"/>
    </row>
    <row r="5" spans="1:22">
      <c r="A5" s="46"/>
      <c r="B5" s="10"/>
      <c r="C5" s="11"/>
      <c r="D5" s="11"/>
      <c r="E5" s="11"/>
      <c r="F5" s="11"/>
      <c r="G5" s="11"/>
      <c r="H5" s="11"/>
      <c r="I5" s="11"/>
      <c r="J5" s="11"/>
      <c r="K5" s="11"/>
      <c r="L5" s="11"/>
      <c r="M5" s="11"/>
      <c r="N5" s="11"/>
      <c r="O5" s="11"/>
      <c r="P5" s="11"/>
      <c r="Q5" s="11"/>
      <c r="R5" s="11"/>
      <c r="S5" s="11"/>
      <c r="T5" s="11"/>
      <c r="U5" s="12"/>
      <c r="V5" s="46"/>
    </row>
    <row r="6" spans="1:22">
      <c r="A6" s="46"/>
      <c r="B6" s="10"/>
      <c r="C6" s="11"/>
      <c r="D6" s="11"/>
      <c r="E6" s="11"/>
      <c r="F6" s="11"/>
      <c r="G6" s="11"/>
      <c r="H6" s="11"/>
      <c r="I6" s="11"/>
      <c r="J6" s="11"/>
      <c r="K6" s="11"/>
      <c r="L6" s="11"/>
      <c r="M6" s="11"/>
      <c r="N6" s="11"/>
      <c r="O6" s="11"/>
      <c r="P6" s="11"/>
      <c r="Q6" s="11"/>
      <c r="R6" s="11"/>
      <c r="S6" s="11"/>
      <c r="T6" s="11"/>
      <c r="U6" s="12"/>
      <c r="V6" s="46"/>
    </row>
    <row r="7" spans="1:22">
      <c r="A7" s="46"/>
      <c r="B7" s="10"/>
      <c r="C7" s="13" t="s">
        <v>0</v>
      </c>
      <c r="D7" s="11"/>
      <c r="E7" s="11"/>
      <c r="F7" s="11"/>
      <c r="G7" s="46"/>
      <c r="H7" s="46"/>
      <c r="I7" s="733" t="s">
        <v>559</v>
      </c>
      <c r="J7" s="152"/>
      <c r="K7" s="153" t="s">
        <v>897</v>
      </c>
      <c r="L7" s="11"/>
      <c r="M7" s="11"/>
      <c r="N7" s="11"/>
      <c r="O7" s="11"/>
      <c r="P7" s="11"/>
      <c r="Q7" s="14" t="s">
        <v>5</v>
      </c>
      <c r="R7" s="15">
        <f>'Program Overview'!K6</f>
        <v>7</v>
      </c>
      <c r="S7" s="16">
        <f>'Program Overview'!M6</f>
        <v>43752</v>
      </c>
      <c r="T7" s="11"/>
      <c r="U7" s="12"/>
      <c r="V7" s="46"/>
    </row>
    <row r="8" spans="1:22">
      <c r="A8" s="46"/>
      <c r="B8" s="10"/>
      <c r="C8" s="13" t="s">
        <v>1</v>
      </c>
      <c r="D8" s="11"/>
      <c r="E8" s="11"/>
      <c r="F8" s="11"/>
      <c r="G8" s="11"/>
      <c r="H8" s="11"/>
      <c r="I8" s="11"/>
      <c r="J8" s="11"/>
      <c r="K8" s="11"/>
      <c r="L8" s="11"/>
      <c r="M8" s="11"/>
      <c r="N8" s="11"/>
      <c r="O8" s="11"/>
      <c r="P8" s="11"/>
      <c r="Q8" s="11"/>
      <c r="R8" s="11"/>
      <c r="S8" s="11"/>
      <c r="T8" s="11"/>
      <c r="U8" s="12"/>
      <c r="V8" s="46"/>
    </row>
    <row r="9" spans="1:22">
      <c r="A9" s="46"/>
      <c r="B9" s="17"/>
      <c r="C9" s="18"/>
      <c r="D9" s="18"/>
      <c r="E9" s="18"/>
      <c r="F9" s="18"/>
      <c r="G9" s="18"/>
      <c r="H9" s="18"/>
      <c r="I9" s="18"/>
      <c r="J9" s="18"/>
      <c r="K9" s="18"/>
      <c r="L9" s="18"/>
      <c r="M9" s="18"/>
      <c r="N9" s="18"/>
      <c r="O9" s="18"/>
      <c r="P9" s="18"/>
      <c r="Q9" s="18"/>
      <c r="R9" s="18"/>
      <c r="S9" s="18"/>
      <c r="T9" s="18"/>
      <c r="U9" s="19"/>
      <c r="V9" s="46"/>
    </row>
    <row r="10" spans="1:22">
      <c r="A10" s="46"/>
      <c r="B10" s="110"/>
      <c r="C10" s="105" t="s">
        <v>197</v>
      </c>
      <c r="D10" s="105"/>
      <c r="E10" s="151">
        <v>6</v>
      </c>
      <c r="F10" s="105"/>
      <c r="G10" s="583" t="s">
        <v>817</v>
      </c>
      <c r="H10" s="105"/>
      <c r="I10" s="105"/>
      <c r="J10" s="582"/>
      <c r="K10" s="207"/>
      <c r="L10" s="59"/>
      <c r="M10" s="59"/>
      <c r="N10" s="59"/>
      <c r="O10" s="59"/>
      <c r="P10" s="59" t="s">
        <v>203</v>
      </c>
      <c r="Q10" s="59"/>
      <c r="R10" s="59"/>
      <c r="S10" s="59"/>
      <c r="T10" s="59"/>
      <c r="U10" s="227"/>
      <c r="V10" s="46"/>
    </row>
    <row r="11" spans="1:22">
      <c r="A11" s="46"/>
      <c r="B11" s="110"/>
      <c r="C11" s="105" t="s">
        <v>9</v>
      </c>
      <c r="D11" s="105"/>
      <c r="E11" s="111" t="s">
        <v>560</v>
      </c>
      <c r="F11" s="105"/>
      <c r="G11" s="581"/>
      <c r="H11" s="105"/>
      <c r="I11" s="105"/>
      <c r="J11" s="582"/>
      <c r="K11" s="581"/>
      <c r="L11" s="105"/>
      <c r="M11" s="105"/>
      <c r="N11" s="105"/>
      <c r="O11" s="105"/>
      <c r="P11" s="105"/>
      <c r="Q11" s="105"/>
      <c r="R11" s="105"/>
      <c r="S11" s="105"/>
      <c r="T11" s="105"/>
      <c r="U11" s="582"/>
      <c r="V11" s="46"/>
    </row>
    <row r="12" spans="1:22" ht="15">
      <c r="A12" s="46"/>
      <c r="B12" s="106" t="s">
        <v>205</v>
      </c>
      <c r="C12" s="8"/>
      <c r="D12" s="8"/>
      <c r="E12" s="8"/>
      <c r="F12" s="8"/>
      <c r="G12" s="8"/>
      <c r="H12" s="8"/>
      <c r="I12" s="8"/>
      <c r="J12" s="8"/>
      <c r="K12" s="127" t="s">
        <v>287</v>
      </c>
      <c r="L12" s="128"/>
      <c r="M12" s="128"/>
      <c r="N12" s="128"/>
      <c r="O12" s="128"/>
      <c r="P12" s="8"/>
      <c r="Q12" s="8"/>
      <c r="R12" s="8"/>
      <c r="S12" s="8"/>
      <c r="T12" s="8"/>
      <c r="U12" s="9"/>
      <c r="V12" s="46"/>
    </row>
    <row r="13" spans="1:22" ht="15">
      <c r="A13" s="46"/>
      <c r="B13" s="10" t="s">
        <v>342</v>
      </c>
      <c r="C13" s="11"/>
      <c r="D13" s="15">
        <f>'Passby Data Set 2'!H22</f>
        <v>296</v>
      </c>
      <c r="E13" s="15" t="s">
        <v>242</v>
      </c>
      <c r="F13" s="107">
        <f>D13*(1/3600)*(1000/1)</f>
        <v>82.222222222222229</v>
      </c>
      <c r="G13" s="15" t="s">
        <v>243</v>
      </c>
      <c r="H13" s="11"/>
      <c r="I13" s="11"/>
      <c r="J13" s="11"/>
      <c r="K13" s="129" t="s">
        <v>288</v>
      </c>
      <c r="L13" s="125"/>
      <c r="M13" s="125"/>
      <c r="N13" s="125"/>
      <c r="O13" s="125"/>
      <c r="P13" s="11"/>
      <c r="Q13" s="11"/>
      <c r="R13" s="11"/>
      <c r="S13" s="11"/>
      <c r="T13" s="11"/>
      <c r="U13" s="12"/>
      <c r="V13" s="46"/>
    </row>
    <row r="14" spans="1:22">
      <c r="A14" s="46"/>
      <c r="B14" s="10" t="s">
        <v>244</v>
      </c>
      <c r="C14" s="11"/>
      <c r="D14" s="15">
        <v>200.19</v>
      </c>
      <c r="E14" s="15" t="s">
        <v>15</v>
      </c>
      <c r="F14" s="11" t="s">
        <v>381</v>
      </c>
      <c r="G14" s="11"/>
      <c r="H14" s="11"/>
      <c r="I14" s="11"/>
      <c r="J14" s="11"/>
      <c r="K14" s="154" t="s">
        <v>289</v>
      </c>
      <c r="L14" s="125"/>
      <c r="M14" s="125"/>
      <c r="N14" s="125"/>
      <c r="O14" s="125"/>
      <c r="P14" s="11"/>
      <c r="Q14" s="11"/>
      <c r="R14" s="11"/>
      <c r="S14" s="11"/>
      <c r="T14" s="11"/>
      <c r="U14" s="12"/>
      <c r="V14" s="46"/>
    </row>
    <row r="15" spans="1:22" ht="16.5">
      <c r="A15" s="46"/>
      <c r="B15" s="10" t="s">
        <v>810</v>
      </c>
      <c r="C15" s="11"/>
      <c r="D15" s="15">
        <f>D14/F13</f>
        <v>2.434743243243243</v>
      </c>
      <c r="E15" s="15" t="s">
        <v>237</v>
      </c>
      <c r="F15" s="76" t="s">
        <v>248</v>
      </c>
      <c r="G15" s="11"/>
      <c r="H15" s="11"/>
      <c r="I15" s="11"/>
      <c r="J15" s="11"/>
      <c r="K15" s="10" t="s">
        <v>290</v>
      </c>
      <c r="L15" s="125"/>
      <c r="M15" s="125"/>
      <c r="N15" s="125"/>
      <c r="O15" s="125"/>
      <c r="P15" s="11"/>
      <c r="Q15" s="11"/>
      <c r="R15" s="11"/>
      <c r="S15" s="11"/>
      <c r="T15" s="11"/>
      <c r="U15" s="12"/>
      <c r="V15" s="46"/>
    </row>
    <row r="16" spans="1:22"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ht="16.5">
      <c r="A17" s="46"/>
      <c r="B17" s="10" t="s">
        <v>298</v>
      </c>
      <c r="C17" s="11"/>
      <c r="D17" s="107">
        <f>'Passby Data Set 2'!$C$92-'Passby Data Set 2'!$C$36</f>
        <v>2.7999999999999958</v>
      </c>
      <c r="E17" s="15" t="s">
        <v>237</v>
      </c>
      <c r="F17" s="76" t="s">
        <v>250</v>
      </c>
      <c r="G17" s="11"/>
      <c r="H17" s="11"/>
      <c r="I17" s="11"/>
      <c r="J17" s="11"/>
      <c r="K17" s="116" t="s">
        <v>299</v>
      </c>
      <c r="L17" s="125"/>
      <c r="M17" s="125"/>
      <c r="N17" s="125"/>
      <c r="O17" s="125"/>
      <c r="P17" s="11"/>
      <c r="Q17" s="11"/>
      <c r="R17" s="11"/>
      <c r="S17" s="11"/>
      <c r="T17" s="11"/>
      <c r="U17" s="12"/>
      <c r="V17" s="46"/>
    </row>
    <row r="18" spans="1:22"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ht="16.5">
      <c r="A20" s="46"/>
      <c r="B20" s="10"/>
      <c r="C20" s="11"/>
      <c r="D20" s="15"/>
      <c r="E20" s="15"/>
      <c r="F20" s="11" t="s">
        <v>253</v>
      </c>
      <c r="G20" s="11"/>
      <c r="H20" s="11"/>
      <c r="I20" s="11"/>
      <c r="J20" s="11"/>
      <c r="K20" s="186" t="s">
        <v>369</v>
      </c>
      <c r="L20" s="11"/>
      <c r="M20" s="11"/>
      <c r="N20" s="11"/>
      <c r="O20" s="11"/>
      <c r="P20" s="11"/>
      <c r="Q20" s="11"/>
      <c r="R20" s="11"/>
      <c r="S20" s="11"/>
      <c r="T20" s="11"/>
      <c r="U20" s="12"/>
      <c r="V20" s="46"/>
    </row>
    <row r="21" spans="1:22"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c r="A22" s="46"/>
      <c r="B22" s="11"/>
      <c r="C22" s="11"/>
      <c r="D22" s="15"/>
      <c r="E22" s="15"/>
      <c r="F22" s="11"/>
      <c r="G22" s="11"/>
      <c r="H22" s="11"/>
      <c r="I22" s="11"/>
      <c r="J22" s="11"/>
      <c r="K22" s="46"/>
      <c r="L22" s="46"/>
      <c r="M22" s="46"/>
      <c r="N22" s="46"/>
      <c r="O22" s="46"/>
      <c r="P22" s="46"/>
      <c r="Q22" s="46"/>
      <c r="R22" s="46"/>
      <c r="S22" s="46"/>
      <c r="T22" s="46"/>
      <c r="U22" s="46"/>
      <c r="V22" s="46"/>
    </row>
    <row r="23" spans="1:22" ht="16.5">
      <c r="A23" s="46"/>
      <c r="B23" s="106" t="s">
        <v>206</v>
      </c>
      <c r="C23" s="8"/>
      <c r="D23" s="8"/>
      <c r="E23" s="8"/>
      <c r="F23" s="8"/>
      <c r="G23" s="8"/>
      <c r="H23" s="8"/>
      <c r="I23" s="8"/>
      <c r="J23" s="8"/>
      <c r="K23" s="8"/>
      <c r="L23" s="8"/>
      <c r="M23" s="8"/>
      <c r="N23" s="8"/>
      <c r="O23" s="8"/>
      <c r="P23" s="8"/>
      <c r="Q23" s="8"/>
      <c r="R23" s="8"/>
      <c r="S23" s="8"/>
      <c r="T23" s="8"/>
      <c r="U23" s="9"/>
      <c r="V23" s="46"/>
    </row>
    <row r="24" spans="1:22" ht="16.5">
      <c r="A24" s="46"/>
      <c r="B24" s="10" t="s">
        <v>223</v>
      </c>
      <c r="C24" s="11"/>
      <c r="D24" s="11"/>
      <c r="E24" s="11"/>
      <c r="F24" s="11"/>
      <c r="G24" s="11"/>
      <c r="H24" s="11"/>
      <c r="I24" s="11"/>
      <c r="J24" s="11" t="s">
        <v>383</v>
      </c>
      <c r="K24" s="11"/>
      <c r="L24" s="11"/>
      <c r="M24" s="11"/>
      <c r="N24" s="11"/>
      <c r="O24" s="11"/>
      <c r="P24" s="11"/>
      <c r="Q24" s="11"/>
      <c r="R24" s="11"/>
      <c r="S24" s="11"/>
      <c r="T24" s="11"/>
      <c r="U24" s="12"/>
      <c r="V24" s="46"/>
    </row>
    <row r="25" spans="1:22">
      <c r="A25" s="46"/>
      <c r="B25" s="10" t="s">
        <v>811</v>
      </c>
      <c r="C25" s="11"/>
      <c r="D25" s="11"/>
      <c r="E25" s="11"/>
      <c r="F25" s="11"/>
      <c r="G25" s="11"/>
      <c r="H25" s="11"/>
      <c r="I25" s="11"/>
      <c r="J25" s="11"/>
      <c r="K25" s="11"/>
      <c r="L25" s="11"/>
      <c r="M25" s="11"/>
      <c r="N25" s="11"/>
      <c r="O25" s="11"/>
      <c r="P25" s="11"/>
      <c r="Q25" s="11"/>
      <c r="R25" s="11"/>
      <c r="S25" s="11"/>
      <c r="T25" s="11"/>
      <c r="U25" s="12"/>
      <c r="V25" s="46"/>
    </row>
    <row r="26" spans="1:22">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215</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ht="16.5">
      <c r="A31" s="46"/>
      <c r="B31" s="10" t="s">
        <v>222</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ht="16.5">
      <c r="A33" s="46"/>
      <c r="B33" s="10"/>
      <c r="C33" s="11"/>
      <c r="D33" s="11"/>
      <c r="E33" s="11"/>
      <c r="F33" s="11"/>
      <c r="G33" s="11"/>
      <c r="H33" s="11"/>
      <c r="I33" s="11"/>
      <c r="J33" s="15" t="s">
        <v>228</v>
      </c>
      <c r="K33" s="11" t="s">
        <v>229</v>
      </c>
      <c r="L33" s="11"/>
      <c r="M33" s="11"/>
      <c r="N33" s="11"/>
      <c r="O33" s="11"/>
      <c r="P33" s="11"/>
      <c r="Q33" s="11"/>
      <c r="R33" s="11"/>
      <c r="S33" s="11"/>
      <c r="T33" s="11"/>
      <c r="U33" s="12"/>
      <c r="V33" s="46"/>
    </row>
    <row r="34" spans="1:22">
      <c r="A34" s="46"/>
      <c r="B34" s="10"/>
      <c r="C34" s="11"/>
      <c r="D34" s="11"/>
      <c r="E34" s="11"/>
      <c r="F34" s="11"/>
      <c r="G34" s="11" t="s">
        <v>901</v>
      </c>
      <c r="H34" s="11"/>
      <c r="I34" s="11"/>
      <c r="J34" s="11"/>
      <c r="K34" s="11"/>
      <c r="L34" s="11"/>
      <c r="M34" s="11"/>
      <c r="N34" s="11"/>
      <c r="O34" s="11"/>
      <c r="P34" s="11"/>
      <c r="Q34" s="11"/>
      <c r="R34" s="11"/>
      <c r="S34" s="11"/>
      <c r="T34" s="11"/>
      <c r="U34" s="12"/>
      <c r="V34" s="46"/>
    </row>
    <row r="35" spans="1:22">
      <c r="A35" s="46"/>
      <c r="B35" s="10"/>
      <c r="C35" s="11"/>
      <c r="D35" s="11"/>
      <c r="E35" s="11"/>
      <c r="F35" s="11"/>
      <c r="G35" s="11" t="s">
        <v>729</v>
      </c>
      <c r="H35" s="11"/>
      <c r="I35" s="11"/>
      <c r="J35" s="11"/>
      <c r="K35" s="11"/>
      <c r="L35" s="11"/>
      <c r="M35" s="11"/>
      <c r="N35" s="11"/>
      <c r="O35" s="11"/>
      <c r="P35" s="11"/>
      <c r="Q35" s="11"/>
      <c r="R35" s="11"/>
      <c r="S35" s="11"/>
      <c r="T35" s="11"/>
      <c r="U35" s="12"/>
      <c r="V35" s="46"/>
    </row>
    <row r="36" spans="1:22">
      <c r="A36" s="46"/>
      <c r="B36" s="17"/>
      <c r="C36" s="108"/>
      <c r="D36" s="18"/>
      <c r="E36" s="18"/>
      <c r="F36" s="18"/>
      <c r="G36" s="18"/>
      <c r="H36" s="18"/>
      <c r="I36" s="18"/>
      <c r="J36" s="18"/>
      <c r="K36" s="18"/>
      <c r="L36" s="18"/>
      <c r="M36" s="18"/>
      <c r="N36" s="18"/>
      <c r="O36" s="18"/>
      <c r="P36" s="18"/>
      <c r="Q36" s="18"/>
      <c r="R36" s="18"/>
      <c r="S36" s="18"/>
      <c r="T36" s="18"/>
      <c r="U36" s="19"/>
      <c r="V36" s="46"/>
    </row>
    <row r="37" spans="1:22" ht="33.75" customHeight="1">
      <c r="A37" s="46"/>
      <c r="B37" s="257" t="s">
        <v>192</v>
      </c>
      <c r="C37" s="101" t="s">
        <v>27</v>
      </c>
      <c r="D37" s="258" t="s">
        <v>230</v>
      </c>
      <c r="E37" s="257" t="s">
        <v>231</v>
      </c>
      <c r="F37" s="258" t="s">
        <v>233</v>
      </c>
      <c r="G37" s="257" t="s">
        <v>192</v>
      </c>
      <c r="H37" s="101" t="s">
        <v>27</v>
      </c>
      <c r="I37" s="258" t="s">
        <v>230</v>
      </c>
      <c r="J37" s="257" t="s">
        <v>231</v>
      </c>
      <c r="K37" s="258" t="s">
        <v>233</v>
      </c>
      <c r="L37" s="257" t="s">
        <v>192</v>
      </c>
      <c r="M37" s="101" t="s">
        <v>27</v>
      </c>
      <c r="N37" s="258" t="s">
        <v>230</v>
      </c>
      <c r="O37" s="257" t="s">
        <v>231</v>
      </c>
      <c r="P37" s="258" t="s">
        <v>233</v>
      </c>
      <c r="Q37" s="257" t="s">
        <v>192</v>
      </c>
      <c r="R37" s="101" t="s">
        <v>27</v>
      </c>
      <c r="S37" s="258" t="s">
        <v>230</v>
      </c>
      <c r="T37" s="257" t="s">
        <v>231</v>
      </c>
      <c r="U37" s="258" t="s">
        <v>233</v>
      </c>
      <c r="V37" s="46"/>
    </row>
    <row r="38" spans="1:22">
      <c r="A38" s="46"/>
      <c r="B38" s="41">
        <f>'Common Reference Data Set'!B24</f>
        <v>1</v>
      </c>
      <c r="C38" s="199">
        <f>'Common Reference Data Set'!C24</f>
        <v>0</v>
      </c>
      <c r="D38" s="102">
        <f>'Common Reference Data Set'!D24</f>
        <v>73.899999999999991</v>
      </c>
      <c r="E38" s="103">
        <f>'Common Reference Data Set'!E24</f>
        <v>9.9090038160958072E-2</v>
      </c>
      <c r="F38" s="104">
        <f t="shared" ref="F38:F59" si="0">(E38*E38)/($O$31*$O$31)</f>
        <v>24547089.156850312</v>
      </c>
      <c r="G38" s="294">
        <f>'Common Reference Data Set'!B46</f>
        <v>23</v>
      </c>
      <c r="H38" s="102">
        <f>'Common Reference Data Set'!C46</f>
        <v>1.1000000000000001</v>
      </c>
      <c r="I38" s="102">
        <f>'Common Reference Data Set'!D46</f>
        <v>97.399999999999991</v>
      </c>
      <c r="J38" s="103">
        <f>'Common Reference Data Set'!E46</f>
        <v>1.4826204826018345</v>
      </c>
      <c r="K38" s="104">
        <f t="shared" ref="K38:K59" si="1">(J38*J38)/($O$31*$O$31)</f>
        <v>5495408738.5762405</v>
      </c>
      <c r="L38" s="41">
        <f>'Common Reference Data Set'!B68</f>
        <v>45</v>
      </c>
      <c r="M38" s="102">
        <f>'Common Reference Data Set'!C68</f>
        <v>2.2000000000000002</v>
      </c>
      <c r="N38" s="102">
        <f>'Common Reference Data Set'!D68</f>
        <v>100.19999999999999</v>
      </c>
      <c r="O38" s="103">
        <f>'Common Reference Data Set'!E68</f>
        <v>2.0465859845615086</v>
      </c>
      <c r="P38" s="104">
        <f t="shared" ref="P38:P59" si="2">(O38*O38)/($O$31*$O$31)</f>
        <v>10471285480.508997</v>
      </c>
      <c r="Q38" s="41">
        <f>'Common Reference Data Set'!B90</f>
        <v>67</v>
      </c>
      <c r="R38" s="102">
        <f>'Common Reference Data Set'!C90</f>
        <v>3.2999999999999963</v>
      </c>
      <c r="S38" s="102">
        <f>'Common Reference Data Set'!D90</f>
        <v>90.699999999999989</v>
      </c>
      <c r="T38" s="103">
        <f>'Common Reference Data Set'!E90</f>
        <v>0.68553557309290036</v>
      </c>
      <c r="U38" s="104">
        <f t="shared" ref="U38:U56" si="3">(T38*T38)/($O$31*$O$31)</f>
        <v>1174897554.9395282</v>
      </c>
      <c r="V38" s="46"/>
    </row>
    <row r="39" spans="1:22">
      <c r="A39" s="46"/>
      <c r="B39" s="41">
        <f>'Common Reference Data Set'!B25</f>
        <v>2</v>
      </c>
      <c r="C39" s="199">
        <f>'Common Reference Data Set'!C25</f>
        <v>0.05</v>
      </c>
      <c r="D39" s="102">
        <f>'Common Reference Data Set'!D25</f>
        <v>74.599999999999994</v>
      </c>
      <c r="E39" s="103">
        <f>'Common Reference Data Set'!E25</f>
        <v>0.10740635927405055</v>
      </c>
      <c r="F39" s="104">
        <f t="shared" si="0"/>
        <v>28840315.03126606</v>
      </c>
      <c r="G39" s="294">
        <f>'Common Reference Data Set'!B47</f>
        <v>24</v>
      </c>
      <c r="H39" s="102">
        <f>'Common Reference Data Set'!C47</f>
        <v>1.1499999999999999</v>
      </c>
      <c r="I39" s="102">
        <f>'Common Reference Data Set'!D47</f>
        <v>96.3</v>
      </c>
      <c r="J39" s="103">
        <f>'Common Reference Data Set'!E47</f>
        <v>1.3062611052949451</v>
      </c>
      <c r="K39" s="104">
        <f t="shared" si="1"/>
        <v>4265795188.0159283</v>
      </c>
      <c r="L39" s="41">
        <f>'Common Reference Data Set'!B69</f>
        <v>46</v>
      </c>
      <c r="M39" s="102">
        <f>'Common Reference Data Set'!C69</f>
        <v>2.25</v>
      </c>
      <c r="N39" s="102">
        <f>'Common Reference Data Set'!D69</f>
        <v>100.6</v>
      </c>
      <c r="O39" s="103">
        <f>'Common Reference Data Set'!E69</f>
        <v>2.1430386104752128</v>
      </c>
      <c r="P39" s="104">
        <f t="shared" si="2"/>
        <v>11481536214.968826</v>
      </c>
      <c r="Q39" s="41">
        <f>'Common Reference Data Set'!B91</f>
        <v>68</v>
      </c>
      <c r="R39" s="102">
        <f>'Common Reference Data Set'!C91</f>
        <v>3.3499999999999961</v>
      </c>
      <c r="S39" s="102">
        <f>'Common Reference Data Set'!D91</f>
        <v>89.399999999999991</v>
      </c>
      <c r="T39" s="103">
        <f>'Common Reference Data Set'!E91</f>
        <v>0.59024184533327717</v>
      </c>
      <c r="U39" s="104">
        <f t="shared" si="3"/>
        <v>870963589.95608056</v>
      </c>
      <c r="V39" s="46"/>
    </row>
    <row r="40" spans="1:22">
      <c r="A40" s="46"/>
      <c r="B40" s="41">
        <f>'Common Reference Data Set'!B26</f>
        <v>3</v>
      </c>
      <c r="C40" s="199">
        <f>'Common Reference Data Set'!C26</f>
        <v>0.1</v>
      </c>
      <c r="D40" s="102">
        <f>'Common Reference Data Set'!D26</f>
        <v>74.599999999999994</v>
      </c>
      <c r="E40" s="103">
        <f>'Common Reference Data Set'!E26</f>
        <v>0.10740635927405055</v>
      </c>
      <c r="F40" s="104">
        <f t="shared" si="0"/>
        <v>28840315.03126606</v>
      </c>
      <c r="G40" s="294">
        <f>'Common Reference Data Set'!B48</f>
        <v>25</v>
      </c>
      <c r="H40" s="102">
        <f>'Common Reference Data Set'!C48</f>
        <v>1.2</v>
      </c>
      <c r="I40" s="102">
        <f>'Common Reference Data Set'!D48</f>
        <v>95.5</v>
      </c>
      <c r="J40" s="103">
        <f>'Common Reference Data Set'!E48</f>
        <v>1.1913242870580238</v>
      </c>
      <c r="K40" s="104">
        <f t="shared" si="1"/>
        <v>3548133892.3357716</v>
      </c>
      <c r="L40" s="41">
        <f>'Common Reference Data Set'!B70</f>
        <v>47</v>
      </c>
      <c r="M40" s="102">
        <f>'Common Reference Data Set'!C70</f>
        <v>2.2999999999999998</v>
      </c>
      <c r="N40" s="102">
        <f>'Common Reference Data Set'!D70</f>
        <v>99.1</v>
      </c>
      <c r="O40" s="103">
        <f>'Common Reference Data Set'!E70</f>
        <v>1.8031422752119151</v>
      </c>
      <c r="P40" s="104">
        <f t="shared" si="2"/>
        <v>8128305161.6410027</v>
      </c>
      <c r="Q40" s="41">
        <f>'Common Reference Data Set'!B92</f>
        <v>69</v>
      </c>
      <c r="R40" s="102">
        <f>'Common Reference Data Set'!C92</f>
        <v>3.3999999999999959</v>
      </c>
      <c r="S40" s="102">
        <f>'Common Reference Data Set'!D92</f>
        <v>88</v>
      </c>
      <c r="T40" s="103">
        <f>'Common Reference Data Set'!E92</f>
        <v>0.50237728630191725</v>
      </c>
      <c r="U40" s="104">
        <f t="shared" si="3"/>
        <v>630957344.48019624</v>
      </c>
      <c r="V40" s="46"/>
    </row>
    <row r="41" spans="1:22">
      <c r="A41" s="46"/>
      <c r="B41" s="41">
        <f>'Common Reference Data Set'!B27</f>
        <v>4</v>
      </c>
      <c r="C41" s="199">
        <f>'Common Reference Data Set'!C27</f>
        <v>0.15</v>
      </c>
      <c r="D41" s="102">
        <f>'Common Reference Data Set'!D27</f>
        <v>75.8</v>
      </c>
      <c r="E41" s="103">
        <f>'Common Reference Data Set'!E27</f>
        <v>0.12331900037229659</v>
      </c>
      <c r="F41" s="104">
        <f t="shared" si="0"/>
        <v>38018939.632056214</v>
      </c>
      <c r="G41" s="294">
        <f>'Common Reference Data Set'!B49</f>
        <v>26</v>
      </c>
      <c r="H41" s="102">
        <f>'Common Reference Data Set'!C49</f>
        <v>1.25</v>
      </c>
      <c r="I41" s="102">
        <f>'Common Reference Data Set'!D49</f>
        <v>97.3</v>
      </c>
      <c r="J41" s="103">
        <f>'Common Reference Data Set'!E49</f>
        <v>1.4656490662778106</v>
      </c>
      <c r="K41" s="104">
        <f t="shared" si="1"/>
        <v>5370317963.7025433</v>
      </c>
      <c r="L41" s="41">
        <f>'Common Reference Data Set'!B71</f>
        <v>48</v>
      </c>
      <c r="M41" s="102">
        <f>'Common Reference Data Set'!C71</f>
        <v>2.3499999999999996</v>
      </c>
      <c r="N41" s="102">
        <f>'Common Reference Data Set'!D71</f>
        <v>97.199999999999989</v>
      </c>
      <c r="O41" s="103">
        <f>'Common Reference Data Set'!E71</f>
        <v>1.4488719201499798</v>
      </c>
      <c r="P41" s="104">
        <f t="shared" si="2"/>
        <v>5248074602.4977226</v>
      </c>
      <c r="Q41" s="41">
        <f>'Common Reference Data Set'!B93</f>
        <v>70</v>
      </c>
      <c r="R41" s="102">
        <f>'Common Reference Data Set'!C93</f>
        <v>3.4499999999999957</v>
      </c>
      <c r="S41" s="102">
        <f>'Common Reference Data Set'!D93</f>
        <v>86.6</v>
      </c>
      <c r="T41" s="103">
        <f>'Common Reference Data Set'!E93</f>
        <v>0.427592417900447</v>
      </c>
      <c r="U41" s="104">
        <f t="shared" si="3"/>
        <v>457088189.61487615</v>
      </c>
      <c r="V41" s="46"/>
    </row>
    <row r="42" spans="1:22">
      <c r="A42" s="46"/>
      <c r="B42" s="41">
        <f>'Common Reference Data Set'!B28</f>
        <v>5</v>
      </c>
      <c r="C42" s="199">
        <f>'Common Reference Data Set'!C28</f>
        <v>0.2</v>
      </c>
      <c r="D42" s="102">
        <f>'Common Reference Data Set'!D28</f>
        <v>76.199999999999989</v>
      </c>
      <c r="E42" s="103">
        <f>'Common Reference Data Set'!E28</f>
        <v>0.12913084580693102</v>
      </c>
      <c r="F42" s="104">
        <f t="shared" si="0"/>
        <v>41686938.347033478</v>
      </c>
      <c r="G42" s="294">
        <f>'Common Reference Data Set'!B50</f>
        <v>27</v>
      </c>
      <c r="H42" s="102">
        <f>'Common Reference Data Set'!C50</f>
        <v>1.3</v>
      </c>
      <c r="I42" s="102">
        <f>'Common Reference Data Set'!D50</f>
        <v>99.399999999999991</v>
      </c>
      <c r="J42" s="103">
        <f>'Common Reference Data Set'!E50</f>
        <v>1.8665086015939831</v>
      </c>
      <c r="K42" s="104">
        <f t="shared" si="1"/>
        <v>8709635899.5608139</v>
      </c>
      <c r="L42" s="41">
        <f>'Common Reference Data Set'!B72</f>
        <v>49</v>
      </c>
      <c r="M42" s="102">
        <f>'Common Reference Data Set'!C72</f>
        <v>2.3999999999999995</v>
      </c>
      <c r="N42" s="102">
        <f>'Common Reference Data Set'!D72</f>
        <v>98.6</v>
      </c>
      <c r="O42" s="103">
        <f>'Common Reference Data Set'!E72</f>
        <v>1.7022760764047546</v>
      </c>
      <c r="P42" s="104">
        <f t="shared" si="2"/>
        <v>7244359600.7499142</v>
      </c>
      <c r="Q42" s="41">
        <f>'Common Reference Data Set'!B94</f>
        <v>71</v>
      </c>
      <c r="R42" s="102">
        <f>'Common Reference Data Set'!C94</f>
        <v>3.4999999999999956</v>
      </c>
      <c r="S42" s="102">
        <f>'Common Reference Data Set'!D94</f>
        <v>85.6</v>
      </c>
      <c r="T42" s="103">
        <f>'Common Reference Data Set'!E94</f>
        <v>0.38109214359264948</v>
      </c>
      <c r="U42" s="104">
        <f t="shared" si="3"/>
        <v>363078054.77010137</v>
      </c>
      <c r="V42" s="46"/>
    </row>
    <row r="43" spans="1:22">
      <c r="A43" s="46"/>
      <c r="B43" s="41">
        <f>'Common Reference Data Set'!B29</f>
        <v>6</v>
      </c>
      <c r="C43" s="199">
        <f>'Common Reference Data Set'!C29</f>
        <v>0.25</v>
      </c>
      <c r="D43" s="102">
        <f>'Common Reference Data Set'!D29</f>
        <v>77.899999999999991</v>
      </c>
      <c r="E43" s="103">
        <f>'Common Reference Data Set'!E29</f>
        <v>0.15704712692201439</v>
      </c>
      <c r="F43" s="104">
        <f t="shared" si="0"/>
        <v>61659500.186148226</v>
      </c>
      <c r="G43" s="294">
        <f>'Common Reference Data Set'!B51</f>
        <v>28</v>
      </c>
      <c r="H43" s="102">
        <f>'Common Reference Data Set'!C51</f>
        <v>1.35</v>
      </c>
      <c r="I43" s="102">
        <f>'Common Reference Data Set'!D51</f>
        <v>98.6</v>
      </c>
      <c r="J43" s="103">
        <f>'Common Reference Data Set'!E51</f>
        <v>1.7022760764047546</v>
      </c>
      <c r="K43" s="104">
        <f t="shared" si="1"/>
        <v>7244359600.7499142</v>
      </c>
      <c r="L43" s="41">
        <f>'Common Reference Data Set'!B73</f>
        <v>50</v>
      </c>
      <c r="M43" s="102">
        <f>'Common Reference Data Set'!C73</f>
        <v>2.4499999999999993</v>
      </c>
      <c r="N43" s="102">
        <f>'Common Reference Data Set'!D73</f>
        <v>98.6</v>
      </c>
      <c r="O43" s="103">
        <f>'Common Reference Data Set'!E73</f>
        <v>1.7022760764047546</v>
      </c>
      <c r="P43" s="104">
        <f t="shared" si="2"/>
        <v>7244359600.7499142</v>
      </c>
      <c r="Q43" s="41">
        <f>'Common Reference Data Set'!B95</f>
        <v>72</v>
      </c>
      <c r="R43" s="102">
        <f>'Common Reference Data Set'!C95</f>
        <v>3.5499999999999954</v>
      </c>
      <c r="S43" s="102">
        <f>'Common Reference Data Set'!D95</f>
        <v>84.5</v>
      </c>
      <c r="T43" s="103">
        <f>'Common Reference Data Set'!E95</f>
        <v>0.33576080362451227</v>
      </c>
      <c r="U43" s="104">
        <f t="shared" si="3"/>
        <v>281838293.12644571</v>
      </c>
      <c r="V43" s="46"/>
    </row>
    <row r="44" spans="1:22">
      <c r="A44" s="46"/>
      <c r="B44" s="41">
        <f>'Common Reference Data Set'!B30</f>
        <v>7</v>
      </c>
      <c r="C44" s="199">
        <f>'Common Reference Data Set'!C30</f>
        <v>0.3</v>
      </c>
      <c r="D44" s="102">
        <f>'Common Reference Data Set'!D30</f>
        <v>79.099999999999994</v>
      </c>
      <c r="E44" s="103">
        <f>'Common Reference Data Set'!E30</f>
        <v>0.18031422752119131</v>
      </c>
      <c r="F44" s="104">
        <f t="shared" si="0"/>
        <v>81283051.616409853</v>
      </c>
      <c r="G44" s="294">
        <f>'Common Reference Data Set'!B52</f>
        <v>29</v>
      </c>
      <c r="H44" s="102">
        <f>'Common Reference Data Set'!C52</f>
        <v>1.4</v>
      </c>
      <c r="I44" s="102">
        <f>'Common Reference Data Set'!D52</f>
        <v>96.6</v>
      </c>
      <c r="J44" s="103">
        <f>'Common Reference Data Set'!E52</f>
        <v>1.3521659507839663</v>
      </c>
      <c r="K44" s="104">
        <f t="shared" si="1"/>
        <v>4570881896.1487684</v>
      </c>
      <c r="L44" s="41">
        <f>'Common Reference Data Set'!B74</f>
        <v>51</v>
      </c>
      <c r="M44" s="102">
        <f>'Common Reference Data Set'!C74</f>
        <v>2.4999999999999991</v>
      </c>
      <c r="N44" s="102">
        <f>'Common Reference Data Set'!D74</f>
        <v>98.199999999999989</v>
      </c>
      <c r="O44" s="103">
        <f>'Common Reference Data Set'!E74</f>
        <v>1.6256610323281975</v>
      </c>
      <c r="P44" s="104">
        <f t="shared" si="2"/>
        <v>6606934480.0759506</v>
      </c>
      <c r="Q44" s="41">
        <f>'Common Reference Data Set'!B96</f>
        <v>73</v>
      </c>
      <c r="R44" s="102">
        <f>'Common Reference Data Set'!C96</f>
        <v>3.5999999999999952</v>
      </c>
      <c r="S44" s="102">
        <f>'Common Reference Data Set'!D96</f>
        <v>83.6</v>
      </c>
      <c r="T44" s="103">
        <f>'Common Reference Data Set'!E96</f>
        <v>0.30271224968724197</v>
      </c>
      <c r="U44" s="104">
        <f t="shared" si="3"/>
        <v>229086765.2767778</v>
      </c>
      <c r="V44" s="46"/>
    </row>
    <row r="45" spans="1:22">
      <c r="A45" s="46"/>
      <c r="B45" s="41">
        <f>'Common Reference Data Set'!B31</f>
        <v>8</v>
      </c>
      <c r="C45" s="199">
        <f>'Common Reference Data Set'!C31</f>
        <v>0.35</v>
      </c>
      <c r="D45" s="102">
        <f>'Common Reference Data Set'!D31</f>
        <v>80.3</v>
      </c>
      <c r="E45" s="103">
        <f>'Common Reference Data Set'!E31</f>
        <v>0.20702843333586893</v>
      </c>
      <c r="F45" s="104">
        <f t="shared" si="0"/>
        <v>107151930.52376078</v>
      </c>
      <c r="G45" s="294">
        <f>'Common Reference Data Set'!B53</f>
        <v>30</v>
      </c>
      <c r="H45" s="102">
        <f>'Common Reference Data Set'!C53</f>
        <v>1.45</v>
      </c>
      <c r="I45" s="102">
        <f>'Common Reference Data Set'!D53</f>
        <v>96</v>
      </c>
      <c r="J45" s="103">
        <f>'Common Reference Data Set'!E53</f>
        <v>1.2619146889603869</v>
      </c>
      <c r="K45" s="104">
        <f t="shared" si="1"/>
        <v>3981071705.5349746</v>
      </c>
      <c r="L45" s="41">
        <f>'Common Reference Data Set'!B75</f>
        <v>52</v>
      </c>
      <c r="M45" s="102">
        <f>'Common Reference Data Set'!C75</f>
        <v>2.5499999999999989</v>
      </c>
      <c r="N45" s="102">
        <f>'Common Reference Data Set'!D75</f>
        <v>96.6</v>
      </c>
      <c r="O45" s="103">
        <f>'Common Reference Data Set'!E75</f>
        <v>1.3521659507839663</v>
      </c>
      <c r="P45" s="104">
        <f t="shared" si="2"/>
        <v>4570881896.1487684</v>
      </c>
      <c r="Q45" s="41">
        <f>'Common Reference Data Set'!B97</f>
        <v>74</v>
      </c>
      <c r="R45" s="102">
        <f>'Common Reference Data Set'!C97</f>
        <v>3.649999999999995</v>
      </c>
      <c r="S45" s="102">
        <f>'Common Reference Data Set'!D97</f>
        <v>81.099999999999994</v>
      </c>
      <c r="T45" s="103">
        <f>'Common Reference Data Set'!E97</f>
        <v>0.22700216313446309</v>
      </c>
      <c r="U45" s="104">
        <f t="shared" si="3"/>
        <v>128824955.16931345</v>
      </c>
      <c r="V45" s="46"/>
    </row>
    <row r="46" spans="1:22">
      <c r="A46" s="46"/>
      <c r="B46" s="41">
        <f>'Common Reference Data Set'!B32</f>
        <v>9</v>
      </c>
      <c r="C46" s="199">
        <f>'Common Reference Data Set'!C32</f>
        <v>0.4</v>
      </c>
      <c r="D46" s="102">
        <f>'Common Reference Data Set'!D32</f>
        <v>81.099999999999994</v>
      </c>
      <c r="E46" s="103">
        <f>'Common Reference Data Set'!E32</f>
        <v>0.22700216313446309</v>
      </c>
      <c r="F46" s="104">
        <f t="shared" si="0"/>
        <v>128824955.16931345</v>
      </c>
      <c r="G46" s="294">
        <f>'Common Reference Data Set'!B54</f>
        <v>31</v>
      </c>
      <c r="H46" s="102">
        <f>'Common Reference Data Set'!C54</f>
        <v>1.5</v>
      </c>
      <c r="I46" s="102">
        <f>'Common Reference Data Set'!D54</f>
        <v>96.5</v>
      </c>
      <c r="J46" s="103">
        <f>'Common Reference Data Set'!E54</f>
        <v>1.3366878351372318</v>
      </c>
      <c r="K46" s="104">
        <f t="shared" si="1"/>
        <v>4466835921.5096474</v>
      </c>
      <c r="L46" s="41">
        <f>'Common Reference Data Set'!B76</f>
        <v>53</v>
      </c>
      <c r="M46" s="102">
        <f>'Common Reference Data Set'!C76</f>
        <v>2.5999999999999988</v>
      </c>
      <c r="N46" s="102">
        <f>'Common Reference Data Set'!D76</f>
        <v>95.899999999999991</v>
      </c>
      <c r="O46" s="103">
        <f>'Common Reference Data Set'!E76</f>
        <v>1.2474696709648392</v>
      </c>
      <c r="P46" s="104">
        <f t="shared" si="2"/>
        <v>3890451449.9428101</v>
      </c>
      <c r="Q46" s="41">
        <f>'Common Reference Data Set'!B98</f>
        <v>75</v>
      </c>
      <c r="R46" s="102">
        <f>'Common Reference Data Set'!C98</f>
        <v>3.6999999999999948</v>
      </c>
      <c r="S46" s="102">
        <f>'Common Reference Data Set'!D98</f>
        <v>80.3</v>
      </c>
      <c r="T46" s="103">
        <f>'Common Reference Data Set'!E98</f>
        <v>0.20702843333586893</v>
      </c>
      <c r="U46" s="104">
        <f t="shared" si="3"/>
        <v>107151930.52376078</v>
      </c>
      <c r="V46" s="46"/>
    </row>
    <row r="47" spans="1:22">
      <c r="A47" s="46"/>
      <c r="B47" s="41">
        <f>'Common Reference Data Set'!B33</f>
        <v>10</v>
      </c>
      <c r="C47" s="199">
        <f>'Common Reference Data Set'!C33</f>
        <v>0.45</v>
      </c>
      <c r="D47" s="102">
        <f>'Common Reference Data Set'!D33</f>
        <v>83.6</v>
      </c>
      <c r="E47" s="103">
        <f>'Common Reference Data Set'!E33</f>
        <v>0.30271224968724197</v>
      </c>
      <c r="F47" s="104">
        <f t="shared" si="0"/>
        <v>229086765.2767778</v>
      </c>
      <c r="G47" s="294">
        <f>'Common Reference Data Set'!B55</f>
        <v>32</v>
      </c>
      <c r="H47" s="102">
        <f>'Common Reference Data Set'!C55</f>
        <v>1.55</v>
      </c>
      <c r="I47" s="102">
        <f>'Common Reference Data Set'!D55</f>
        <v>96.899999999999991</v>
      </c>
      <c r="J47" s="103">
        <f>'Common Reference Data Set'!E55</f>
        <v>1.399683992004547</v>
      </c>
      <c r="K47" s="104">
        <f t="shared" si="1"/>
        <v>4897788193.6844616</v>
      </c>
      <c r="L47" s="41">
        <f>'Common Reference Data Set'!B77</f>
        <v>54</v>
      </c>
      <c r="M47" s="102">
        <f>'Common Reference Data Set'!C77</f>
        <v>2.6499999999999986</v>
      </c>
      <c r="N47" s="102">
        <f>'Common Reference Data Set'!D77</f>
        <v>98.6</v>
      </c>
      <c r="O47" s="103">
        <f>'Common Reference Data Set'!E77</f>
        <v>1.7022760764047546</v>
      </c>
      <c r="P47" s="104">
        <f t="shared" si="2"/>
        <v>7244359600.7499142</v>
      </c>
      <c r="Q47" s="41">
        <f>'Common Reference Data Set'!B99</f>
        <v>76</v>
      </c>
      <c r="R47" s="102">
        <f>'Common Reference Data Set'!C99</f>
        <v>3.7499999999999947</v>
      </c>
      <c r="S47" s="102">
        <f>'Common Reference Data Set'!D99</f>
        <v>79.099999999999994</v>
      </c>
      <c r="T47" s="103">
        <f>'Common Reference Data Set'!E99</f>
        <v>0.18031422752119131</v>
      </c>
      <c r="U47" s="104">
        <f t="shared" si="3"/>
        <v>81283051.616409853</v>
      </c>
      <c r="V47" s="46"/>
    </row>
    <row r="48" spans="1:22">
      <c r="A48" s="46"/>
      <c r="B48" s="41">
        <f>'Common Reference Data Set'!B34</f>
        <v>11</v>
      </c>
      <c r="C48" s="199">
        <f>'Common Reference Data Set'!C34</f>
        <v>0.5</v>
      </c>
      <c r="D48" s="102">
        <f>'Common Reference Data Set'!D34</f>
        <v>84.8</v>
      </c>
      <c r="E48" s="103">
        <f>'Common Reference Data Set'!E34</f>
        <v>0.34756016574987586</v>
      </c>
      <c r="F48" s="104">
        <f t="shared" si="0"/>
        <v>301995172.04020292</v>
      </c>
      <c r="G48" s="294">
        <f>'Common Reference Data Set'!B56</f>
        <v>33</v>
      </c>
      <c r="H48" s="102">
        <f>'Common Reference Data Set'!C56</f>
        <v>1.6</v>
      </c>
      <c r="I48" s="102">
        <f>'Common Reference Data Set'!D56</f>
        <v>96.8</v>
      </c>
      <c r="J48" s="103">
        <f>'Common Reference Data Set'!E56</f>
        <v>1.3836619418378731</v>
      </c>
      <c r="K48" s="104">
        <f t="shared" si="1"/>
        <v>4786300923.2263832</v>
      </c>
      <c r="L48" s="41">
        <f>'Common Reference Data Set'!B78</f>
        <v>55</v>
      </c>
      <c r="M48" s="102">
        <f>'Common Reference Data Set'!C78</f>
        <v>2.6999999999999984</v>
      </c>
      <c r="N48" s="102">
        <f>'Common Reference Data Set'!D78</f>
        <v>98.399999999999991</v>
      </c>
      <c r="O48" s="103">
        <f>'Common Reference Data Set'!E78</f>
        <v>1.6635275422053437</v>
      </c>
      <c r="P48" s="104">
        <f t="shared" si="2"/>
        <v>6918309709.1893778</v>
      </c>
      <c r="Q48" s="41">
        <f>'Common Reference Data Set'!B100</f>
        <v>77</v>
      </c>
      <c r="R48" s="102">
        <f>'Common Reference Data Set'!C100</f>
        <v>3.7999999999999945</v>
      </c>
      <c r="S48" s="102">
        <f>'Common Reference Data Set'!D100</f>
        <v>77.8</v>
      </c>
      <c r="T48" s="103">
        <f>'Common Reference Data Set'!E100</f>
        <v>0.15524942332573838</v>
      </c>
      <c r="U48" s="104">
        <f t="shared" si="3"/>
        <v>60255958.607435785</v>
      </c>
      <c r="V48" s="46"/>
    </row>
    <row r="49" spans="1:22">
      <c r="A49" s="46"/>
      <c r="B49" s="41">
        <f>'Common Reference Data Set'!B35</f>
        <v>12</v>
      </c>
      <c r="C49" s="199">
        <f>'Common Reference Data Set'!C35</f>
        <v>0.55000000000000004</v>
      </c>
      <c r="D49" s="102">
        <f>'Common Reference Data Set'!D35</f>
        <v>86.6</v>
      </c>
      <c r="E49" s="103">
        <f>'Common Reference Data Set'!E35</f>
        <v>0.427592417900447</v>
      </c>
      <c r="F49" s="104">
        <f t="shared" si="0"/>
        <v>457088189.61487615</v>
      </c>
      <c r="G49" s="294">
        <f>'Common Reference Data Set'!B57</f>
        <v>34</v>
      </c>
      <c r="H49" s="102">
        <f>'Common Reference Data Set'!C57</f>
        <v>1.65</v>
      </c>
      <c r="I49" s="102">
        <f>'Common Reference Data Set'!D57</f>
        <v>94.899999999999991</v>
      </c>
      <c r="J49" s="103">
        <f>'Common Reference Data Set'!E57</f>
        <v>1.1118085145408063</v>
      </c>
      <c r="K49" s="104">
        <f t="shared" si="1"/>
        <v>3090295432.5135851</v>
      </c>
      <c r="L49" s="41">
        <f>'Common Reference Data Set'!B79</f>
        <v>56</v>
      </c>
      <c r="M49" s="102">
        <f>'Common Reference Data Set'!C79</f>
        <v>2.7499999999999982</v>
      </c>
      <c r="N49" s="102">
        <f>'Common Reference Data Set'!D79</f>
        <v>96.6</v>
      </c>
      <c r="O49" s="103">
        <f>'Common Reference Data Set'!E79</f>
        <v>1.3521659507839663</v>
      </c>
      <c r="P49" s="104">
        <f t="shared" si="2"/>
        <v>4570881896.1487684</v>
      </c>
      <c r="Q49" s="41">
        <f>'Common Reference Data Set'!B101</f>
        <v>78</v>
      </c>
      <c r="R49" s="102">
        <f>'Common Reference Data Set'!C101</f>
        <v>3.8499999999999943</v>
      </c>
      <c r="S49" s="102">
        <f>'Common Reference Data Set'!D101</f>
        <v>76.7</v>
      </c>
      <c r="T49" s="103">
        <f>'Common Reference Data Set'!E101</f>
        <v>0.13678232945628596</v>
      </c>
      <c r="U49" s="104">
        <f t="shared" si="3"/>
        <v>46773514.128719881</v>
      </c>
      <c r="V49" s="46"/>
    </row>
    <row r="50" spans="1:22">
      <c r="A50" s="46"/>
      <c r="B50" s="41">
        <f>'Common Reference Data Set'!B36</f>
        <v>13</v>
      </c>
      <c r="C50" s="199">
        <f>'Common Reference Data Set'!C36</f>
        <v>0.6</v>
      </c>
      <c r="D50" s="102">
        <f>'Common Reference Data Set'!D36</f>
        <v>88.5</v>
      </c>
      <c r="E50" s="103">
        <f>'Common Reference Data Set'!E36</f>
        <v>0.53214501195976216</v>
      </c>
      <c r="F50" s="104">
        <f t="shared" si="0"/>
        <v>707945784.38413846</v>
      </c>
      <c r="G50" s="294">
        <f>'Common Reference Data Set'!B58</f>
        <v>35</v>
      </c>
      <c r="H50" s="102">
        <f>'Common Reference Data Set'!C58</f>
        <v>1.7</v>
      </c>
      <c r="I50" s="102">
        <f>'Common Reference Data Set'!D58</f>
        <v>95.699999999999989</v>
      </c>
      <c r="J50" s="103">
        <f>'Common Reference Data Set'!E58</f>
        <v>1.2190737944803369</v>
      </c>
      <c r="K50" s="104">
        <f t="shared" si="1"/>
        <v>3715352290.9717164</v>
      </c>
      <c r="L50" s="41">
        <f>'Common Reference Data Set'!B80</f>
        <v>57</v>
      </c>
      <c r="M50" s="102">
        <f>'Common Reference Data Set'!C80</f>
        <v>2.799999999999998</v>
      </c>
      <c r="N50" s="102">
        <f>'Common Reference Data Set'!D80</f>
        <v>95.899999999999991</v>
      </c>
      <c r="O50" s="103">
        <f>'Common Reference Data Set'!E80</f>
        <v>1.2474696709648392</v>
      </c>
      <c r="P50" s="104">
        <f t="shared" si="2"/>
        <v>3890451449.9428101</v>
      </c>
      <c r="Q50" s="41">
        <f>'Common Reference Data Set'!B102</f>
        <v>79</v>
      </c>
      <c r="R50" s="102">
        <f>'Common Reference Data Set'!C102</f>
        <v>3.8999999999999941</v>
      </c>
      <c r="S50" s="102">
        <f>'Common Reference Data Set'!D102</f>
        <v>75.5</v>
      </c>
      <c r="T50" s="103">
        <f>'Common Reference Data Set'!E102</f>
        <v>0.11913242870580223</v>
      </c>
      <c r="U50" s="104">
        <f t="shared" si="3"/>
        <v>35481338.923357628</v>
      </c>
      <c r="V50" s="46"/>
    </row>
    <row r="51" spans="1:22">
      <c r="A51" s="46"/>
      <c r="B51" s="41">
        <f>'Common Reference Data Set'!B37</f>
        <v>14</v>
      </c>
      <c r="C51" s="199">
        <f>'Common Reference Data Set'!C37</f>
        <v>0.65</v>
      </c>
      <c r="D51" s="102">
        <f>'Common Reference Data Set'!D37</f>
        <v>90.5</v>
      </c>
      <c r="E51" s="103">
        <f>'Common Reference Data Set'!E37</f>
        <v>0.66993087831565623</v>
      </c>
      <c r="F51" s="104">
        <f t="shared" si="0"/>
        <v>1122018454.3019664</v>
      </c>
      <c r="G51" s="294">
        <f>'Common Reference Data Set'!B59</f>
        <v>36</v>
      </c>
      <c r="H51" s="102">
        <f>'Common Reference Data Set'!C59</f>
        <v>1.75</v>
      </c>
      <c r="I51" s="102">
        <f>'Common Reference Data Set'!D59</f>
        <v>96.6</v>
      </c>
      <c r="J51" s="103">
        <f>'Common Reference Data Set'!E59</f>
        <v>1.3521659507839663</v>
      </c>
      <c r="K51" s="104">
        <f t="shared" si="1"/>
        <v>4570881896.1487684</v>
      </c>
      <c r="L51" s="41">
        <f>'Common Reference Data Set'!B81</f>
        <v>58</v>
      </c>
      <c r="M51" s="102">
        <f>'Common Reference Data Set'!C81</f>
        <v>2.8499999999999979</v>
      </c>
      <c r="N51" s="102">
        <f>'Common Reference Data Set'!D81</f>
        <v>97</v>
      </c>
      <c r="O51" s="103">
        <f>'Common Reference Data Set'!E81</f>
        <v>1.4158915687682758</v>
      </c>
      <c r="P51" s="104">
        <f t="shared" si="2"/>
        <v>5011872336.2727213</v>
      </c>
      <c r="Q51" s="41">
        <f>'Common Reference Data Set'!B103</f>
        <v>80</v>
      </c>
      <c r="R51" s="102">
        <f>'Common Reference Data Set'!C103</f>
        <v>3.949999999999994</v>
      </c>
      <c r="S51" s="102">
        <f>'Common Reference Data Set'!D103</f>
        <v>74.5</v>
      </c>
      <c r="T51" s="103">
        <f>'Common Reference Data Set'!E103</f>
        <v>0.10617688884619786</v>
      </c>
      <c r="U51" s="104">
        <f t="shared" si="3"/>
        <v>28183829.312644634</v>
      </c>
      <c r="V51" s="46"/>
    </row>
    <row r="52" spans="1:22">
      <c r="A52" s="46"/>
      <c r="B52" s="41">
        <f>'Common Reference Data Set'!B38</f>
        <v>15</v>
      </c>
      <c r="C52" s="199">
        <f>'Common Reference Data Set'!C38</f>
        <v>0.7</v>
      </c>
      <c r="D52" s="102">
        <f>'Common Reference Data Set'!D38</f>
        <v>93</v>
      </c>
      <c r="E52" s="103">
        <f>'Common Reference Data Set'!E38</f>
        <v>0.89336718430192785</v>
      </c>
      <c r="F52" s="104">
        <f t="shared" si="0"/>
        <v>1995262314.9688866</v>
      </c>
      <c r="G52" s="294">
        <f>'Common Reference Data Set'!B60</f>
        <v>37</v>
      </c>
      <c r="H52" s="102">
        <f>'Common Reference Data Set'!C60</f>
        <v>1.8</v>
      </c>
      <c r="I52" s="102">
        <f>'Common Reference Data Set'!D60</f>
        <v>97.6</v>
      </c>
      <c r="J52" s="103">
        <f>'Common Reference Data Set'!E60</f>
        <v>1.5171551500583698</v>
      </c>
      <c r="K52" s="104">
        <f t="shared" si="1"/>
        <v>5754399373.3715849</v>
      </c>
      <c r="L52" s="41">
        <f>'Common Reference Data Set'!B82</f>
        <v>59</v>
      </c>
      <c r="M52" s="102">
        <f>'Common Reference Data Set'!C82</f>
        <v>2.8999999999999977</v>
      </c>
      <c r="N52" s="102">
        <f>'Common Reference Data Set'!D82</f>
        <v>98.699999999999989</v>
      </c>
      <c r="O52" s="103">
        <f>'Common Reference Data Set'!E82</f>
        <v>1.7219875043692028</v>
      </c>
      <c r="P52" s="104">
        <f t="shared" si="2"/>
        <v>7413102413.0091867</v>
      </c>
      <c r="Q52" s="41">
        <f>'Common Reference Data Set'!B104</f>
        <v>81</v>
      </c>
      <c r="R52" s="102">
        <f>'Common Reference Data Set'!C104</f>
        <v>3.9999999999999938</v>
      </c>
      <c r="S52" s="102">
        <f>'Common Reference Data Set'!D104</f>
        <v>73.899999999999991</v>
      </c>
      <c r="T52" s="103">
        <f>'Common Reference Data Set'!E104</f>
        <v>9.9090038160958072E-2</v>
      </c>
      <c r="U52" s="104">
        <f t="shared" si="3"/>
        <v>24547089.156850312</v>
      </c>
      <c r="V52" s="46"/>
    </row>
    <row r="53" spans="1:22">
      <c r="A53" s="46"/>
      <c r="B53" s="41">
        <f>'Common Reference Data Set'!B39</f>
        <v>16</v>
      </c>
      <c r="C53" s="199">
        <f>'Common Reference Data Set'!C39</f>
        <v>0.75</v>
      </c>
      <c r="D53" s="102">
        <f>'Common Reference Data Set'!D39</f>
        <v>95.1</v>
      </c>
      <c r="E53" s="103">
        <f>'Common Reference Data Set'!E39</f>
        <v>1.1377058616876838</v>
      </c>
      <c r="F53" s="104">
        <f t="shared" si="0"/>
        <v>3235936569.2962871</v>
      </c>
      <c r="G53" s="294">
        <f>'Common Reference Data Set'!B61</f>
        <v>38</v>
      </c>
      <c r="H53" s="102">
        <f>'Common Reference Data Set'!C61</f>
        <v>1.85</v>
      </c>
      <c r="I53" s="102">
        <f>'Common Reference Data Set'!D61</f>
        <v>96.1</v>
      </c>
      <c r="J53" s="103">
        <f>'Common Reference Data Set'!E61</f>
        <v>1.2765269723810979</v>
      </c>
      <c r="K53" s="104">
        <f t="shared" si="1"/>
        <v>4073802778.0411301</v>
      </c>
      <c r="L53" s="41">
        <f>'Common Reference Data Set'!B83</f>
        <v>60</v>
      </c>
      <c r="M53" s="102">
        <f>'Common Reference Data Set'!C83</f>
        <v>2.9499999999999975</v>
      </c>
      <c r="N53" s="102">
        <f>'Common Reference Data Set'!D83</f>
        <v>100.19999999999999</v>
      </c>
      <c r="O53" s="103">
        <f>'Common Reference Data Set'!E83</f>
        <v>2.0465859845615086</v>
      </c>
      <c r="P53" s="104">
        <f t="shared" si="2"/>
        <v>10471285480.508997</v>
      </c>
      <c r="Q53" s="41">
        <f>'Common Reference Data Set'!B105</f>
        <v>82</v>
      </c>
      <c r="R53" s="102">
        <f>'Common Reference Data Set'!C105</f>
        <v>4.0499999999999936</v>
      </c>
      <c r="S53" s="102">
        <f>'Common Reference Data Set'!D105</f>
        <v>72.899999999999991</v>
      </c>
      <c r="T53" s="103">
        <f>'Common Reference Data Set'!E105</f>
        <v>8.831408947066241E-2</v>
      </c>
      <c r="U53" s="104">
        <f t="shared" si="3"/>
        <v>19498445.997580409</v>
      </c>
      <c r="V53" s="46"/>
    </row>
    <row r="54" spans="1:22">
      <c r="A54" s="46"/>
      <c r="B54" s="41">
        <f>'Common Reference Data Set'!B40</f>
        <v>17</v>
      </c>
      <c r="C54" s="199">
        <f>'Common Reference Data Set'!C40</f>
        <v>0.8</v>
      </c>
      <c r="D54" s="102">
        <f>'Common Reference Data Set'!D40</f>
        <v>96.6</v>
      </c>
      <c r="E54" s="103">
        <f>'Common Reference Data Set'!E40</f>
        <v>1.3521659507839663</v>
      </c>
      <c r="F54" s="104">
        <f t="shared" si="0"/>
        <v>4570881896.1487684</v>
      </c>
      <c r="G54" s="294">
        <f>'Common Reference Data Set'!B62</f>
        <v>39</v>
      </c>
      <c r="H54" s="102">
        <f>'Common Reference Data Set'!C62</f>
        <v>1.9</v>
      </c>
      <c r="I54" s="102">
        <f>'Common Reference Data Set'!D62</f>
        <v>97.699999999999989</v>
      </c>
      <c r="J54" s="103">
        <f>'Common Reference Data Set'!E62</f>
        <v>1.5347229787236401</v>
      </c>
      <c r="K54" s="104">
        <f t="shared" si="1"/>
        <v>5888436553.5559044</v>
      </c>
      <c r="L54" s="41">
        <f>'Common Reference Data Set'!B84</f>
        <v>61</v>
      </c>
      <c r="M54" s="102">
        <f>'Common Reference Data Set'!C84</f>
        <v>2.9999999999999973</v>
      </c>
      <c r="N54" s="102">
        <f>'Common Reference Data Set'!D84</f>
        <v>99.1</v>
      </c>
      <c r="O54" s="103">
        <f>'Common Reference Data Set'!E84</f>
        <v>1.8031422752119151</v>
      </c>
      <c r="P54" s="104">
        <f t="shared" si="2"/>
        <v>8128305161.6410027</v>
      </c>
      <c r="Q54" s="41">
        <f>'Common Reference Data Set'!B106</f>
        <v>83</v>
      </c>
      <c r="R54" s="102">
        <f>'Common Reference Data Set'!C106</f>
        <v>4.0999999999999934</v>
      </c>
      <c r="S54" s="102">
        <f>'Common Reference Data Set'!D106</f>
        <v>71.699999999999989</v>
      </c>
      <c r="T54" s="103">
        <f>'Common Reference Data Set'!E106</f>
        <v>7.6918356409070687E-2</v>
      </c>
      <c r="U54" s="104">
        <f t="shared" si="3"/>
        <v>14791083.881682061</v>
      </c>
      <c r="V54" s="46"/>
    </row>
    <row r="55" spans="1:22">
      <c r="A55" s="46"/>
      <c r="B55" s="41">
        <f>'Common Reference Data Set'!B41</f>
        <v>18</v>
      </c>
      <c r="C55" s="199">
        <f>'Common Reference Data Set'!C41</f>
        <v>0.85</v>
      </c>
      <c r="D55" s="102">
        <f>'Common Reference Data Set'!D41</f>
        <v>99</v>
      </c>
      <c r="E55" s="103">
        <f>'Common Reference Data Set'!E41</f>
        <v>1.7825018762674922</v>
      </c>
      <c r="F55" s="104">
        <f t="shared" si="0"/>
        <v>7943282347.2428246</v>
      </c>
      <c r="G55" s="294">
        <f>'Common Reference Data Set'!B63</f>
        <v>40</v>
      </c>
      <c r="H55" s="102">
        <f>'Common Reference Data Set'!C63</f>
        <v>1.95</v>
      </c>
      <c r="I55" s="102">
        <f>'Common Reference Data Set'!D63</f>
        <v>99.899999999999991</v>
      </c>
      <c r="J55" s="103">
        <f>'Common Reference Data Set'!E63</f>
        <v>1.9771061893138748</v>
      </c>
      <c r="K55" s="104">
        <f t="shared" si="1"/>
        <v>9772372209.5580769</v>
      </c>
      <c r="L55" s="41">
        <f>'Common Reference Data Set'!B85</f>
        <v>62</v>
      </c>
      <c r="M55" s="102">
        <f>'Common Reference Data Set'!C85</f>
        <v>3.0499999999999972</v>
      </c>
      <c r="N55" s="102">
        <f>'Common Reference Data Set'!D85</f>
        <v>97.6</v>
      </c>
      <c r="O55" s="103">
        <f>'Common Reference Data Set'!E85</f>
        <v>1.5171551500583698</v>
      </c>
      <c r="P55" s="104">
        <f t="shared" si="2"/>
        <v>5754399373.3715849</v>
      </c>
      <c r="Q55" s="41">
        <f>'Common Reference Data Set'!B107</f>
        <v>84</v>
      </c>
      <c r="R55" s="102">
        <f>'Common Reference Data Set'!C107</f>
        <v>4.1499999999999932</v>
      </c>
      <c r="S55" s="102">
        <f>'Common Reference Data Set'!D107</f>
        <v>71</v>
      </c>
      <c r="T55" s="103">
        <f>'Common Reference Data Set'!E107</f>
        <v>7.0962677846715089E-2</v>
      </c>
      <c r="U55" s="104">
        <f t="shared" si="3"/>
        <v>12589254.117941668</v>
      </c>
      <c r="V55" s="46"/>
    </row>
    <row r="56" spans="1:22">
      <c r="A56" s="46"/>
      <c r="B56" s="41">
        <f>'Common Reference Data Set'!B42</f>
        <v>19</v>
      </c>
      <c r="C56" s="199">
        <f>'Common Reference Data Set'!C42</f>
        <v>0.9</v>
      </c>
      <c r="D56" s="102">
        <f>'Common Reference Data Set'!D42</f>
        <v>98.899999999999991</v>
      </c>
      <c r="E56" s="103">
        <f>'Common Reference Data Set'!E42</f>
        <v>1.7620977460160265</v>
      </c>
      <c r="F56" s="104">
        <f t="shared" si="0"/>
        <v>7762471166.2869015</v>
      </c>
      <c r="G56" s="294">
        <f>'Common Reference Data Set'!B64</f>
        <v>41</v>
      </c>
      <c r="H56" s="102">
        <f>'Common Reference Data Set'!C64</f>
        <v>2</v>
      </c>
      <c r="I56" s="102">
        <f>'Common Reference Data Set'!D64</f>
        <v>100.5</v>
      </c>
      <c r="J56" s="103">
        <f>'Common Reference Data Set'!E64</f>
        <v>2.1185074503545818</v>
      </c>
      <c r="K56" s="104">
        <f t="shared" si="1"/>
        <v>11220184543.019676</v>
      </c>
      <c r="L56" s="41">
        <f>'Common Reference Data Set'!B86</f>
        <v>63</v>
      </c>
      <c r="M56" s="102">
        <f>'Common Reference Data Set'!C86</f>
        <v>3.099999999999997</v>
      </c>
      <c r="N56" s="102">
        <f>'Common Reference Data Set'!D86</f>
        <v>96.6</v>
      </c>
      <c r="O56" s="103">
        <f>'Common Reference Data Set'!E86</f>
        <v>1.3521659507839663</v>
      </c>
      <c r="P56" s="104">
        <f t="shared" si="2"/>
        <v>4570881896.1487684</v>
      </c>
      <c r="Q56" s="615">
        <f>'Common Reference Data Set'!B108</f>
        <v>85</v>
      </c>
      <c r="R56" s="616">
        <f>'Common Reference Data Set'!C108</f>
        <v>4.1999999999999931</v>
      </c>
      <c r="S56" s="616">
        <f>'Common Reference Data Set'!D108</f>
        <v>70.599999999999994</v>
      </c>
      <c r="T56" s="617">
        <f>'Common Reference Data Set'!E108</f>
        <v>6.7768831227840512E-2</v>
      </c>
      <c r="U56" s="618">
        <f t="shared" si="3"/>
        <v>11481536.214968827</v>
      </c>
      <c r="V56" s="46"/>
    </row>
    <row r="57" spans="1:22">
      <c r="A57" s="46"/>
      <c r="B57" s="41">
        <f>'Common Reference Data Set'!B43</f>
        <v>20</v>
      </c>
      <c r="C57" s="199">
        <f>'Common Reference Data Set'!C43</f>
        <v>0.95</v>
      </c>
      <c r="D57" s="102">
        <f>'Common Reference Data Set'!D43</f>
        <v>97.699999999999989</v>
      </c>
      <c r="E57" s="103">
        <f>'Common Reference Data Set'!E43</f>
        <v>1.5347229787236401</v>
      </c>
      <c r="F57" s="104">
        <f t="shared" si="0"/>
        <v>5888436553.5559044</v>
      </c>
      <c r="G57" s="294">
        <f>'Common Reference Data Set'!B65</f>
        <v>42</v>
      </c>
      <c r="H57" s="102">
        <f>'Common Reference Data Set'!C65</f>
        <v>2.0499999999999998</v>
      </c>
      <c r="I57" s="102">
        <f>'Common Reference Data Set'!D65</f>
        <v>99.6</v>
      </c>
      <c r="J57" s="103">
        <f>'Common Reference Data Set'!E65</f>
        <v>1.9099851720428727</v>
      </c>
      <c r="K57" s="104">
        <f t="shared" si="1"/>
        <v>9120108393.559103</v>
      </c>
      <c r="L57" s="41">
        <f>'Common Reference Data Set'!B87</f>
        <v>64</v>
      </c>
      <c r="M57" s="102">
        <f>'Common Reference Data Set'!C87</f>
        <v>3.1499999999999968</v>
      </c>
      <c r="N57" s="102">
        <f>'Common Reference Data Set'!D87</f>
        <v>95.5</v>
      </c>
      <c r="O57" s="103">
        <f>'Common Reference Data Set'!E87</f>
        <v>1.1913242870580238</v>
      </c>
      <c r="P57" s="614">
        <f t="shared" si="2"/>
        <v>3548133892.3357716</v>
      </c>
      <c r="Q57" s="584"/>
      <c r="R57" s="585"/>
      <c r="S57" s="585"/>
      <c r="T57" s="585"/>
      <c r="U57" s="586"/>
      <c r="V57" s="46"/>
    </row>
    <row r="58" spans="1:22">
      <c r="A58" s="46"/>
      <c r="B58" s="41">
        <f>'Common Reference Data Set'!B44</f>
        <v>21</v>
      </c>
      <c r="C58" s="199">
        <f>'Common Reference Data Set'!C44</f>
        <v>1</v>
      </c>
      <c r="D58" s="102">
        <f>'Common Reference Data Set'!D44</f>
        <v>98.6</v>
      </c>
      <c r="E58" s="103">
        <f>'Common Reference Data Set'!E44</f>
        <v>1.7022760764047546</v>
      </c>
      <c r="F58" s="104">
        <f t="shared" si="0"/>
        <v>7244359600.7499142</v>
      </c>
      <c r="G58" s="294">
        <f>'Common Reference Data Set'!B66</f>
        <v>43</v>
      </c>
      <c r="H58" s="102">
        <f>'Common Reference Data Set'!C66</f>
        <v>2.1</v>
      </c>
      <c r="I58" s="102">
        <f>'Common Reference Data Set'!D66</f>
        <v>97.6</v>
      </c>
      <c r="J58" s="103">
        <f>'Common Reference Data Set'!E66</f>
        <v>1.5171551500583698</v>
      </c>
      <c r="K58" s="104">
        <f t="shared" si="1"/>
        <v>5754399373.3715849</v>
      </c>
      <c r="L58" s="41">
        <f>'Common Reference Data Set'!B88</f>
        <v>65</v>
      </c>
      <c r="M58" s="102">
        <f>'Common Reference Data Set'!C88</f>
        <v>3.1999999999999966</v>
      </c>
      <c r="N58" s="102">
        <f>'Common Reference Data Set'!D88</f>
        <v>95.6</v>
      </c>
      <c r="O58" s="103">
        <f>'Common Reference Data Set'!E88</f>
        <v>1.205119172148714</v>
      </c>
      <c r="P58" s="614">
        <f t="shared" si="2"/>
        <v>3630780547.701004</v>
      </c>
      <c r="Q58" s="584"/>
      <c r="R58" s="585"/>
      <c r="S58" s="585"/>
      <c r="T58" s="585"/>
      <c r="U58" s="586"/>
      <c r="V58" s="46"/>
    </row>
    <row r="59" spans="1:22">
      <c r="A59" s="46"/>
      <c r="B59" s="41">
        <f>'Common Reference Data Set'!B45</f>
        <v>22</v>
      </c>
      <c r="C59" s="199">
        <f>'Common Reference Data Set'!C45</f>
        <v>1.05</v>
      </c>
      <c r="D59" s="102">
        <f>'Common Reference Data Set'!D45</f>
        <v>97.699999999999989</v>
      </c>
      <c r="E59" s="103">
        <f>'Common Reference Data Set'!E45</f>
        <v>1.5347229787236401</v>
      </c>
      <c r="F59" s="104">
        <f t="shared" si="0"/>
        <v>5888436553.5559044</v>
      </c>
      <c r="G59" s="294">
        <f>'Common Reference Data Set'!B67</f>
        <v>44</v>
      </c>
      <c r="H59" s="102">
        <f>'Common Reference Data Set'!C67</f>
        <v>2.15</v>
      </c>
      <c r="I59" s="102">
        <f>'Common Reference Data Set'!D67</f>
        <v>98.6</v>
      </c>
      <c r="J59" s="103">
        <f>'Common Reference Data Set'!E67</f>
        <v>1.7022760764047546</v>
      </c>
      <c r="K59" s="104">
        <f t="shared" si="1"/>
        <v>7244359600.7499142</v>
      </c>
      <c r="L59" s="41">
        <f>'Common Reference Data Set'!B89</f>
        <v>66</v>
      </c>
      <c r="M59" s="102">
        <f>'Common Reference Data Set'!C89</f>
        <v>3.2499999999999964</v>
      </c>
      <c r="N59" s="102">
        <f>'Common Reference Data Set'!D89</f>
        <v>93.6</v>
      </c>
      <c r="O59" s="103">
        <f>'Common Reference Data Set'!E89</f>
        <v>0.95726018464527651</v>
      </c>
      <c r="P59" s="614">
        <f t="shared" si="2"/>
        <v>2290867652.7677717</v>
      </c>
      <c r="Q59" s="584"/>
      <c r="R59" s="585"/>
      <c r="S59" s="585"/>
      <c r="T59" s="585"/>
      <c r="U59" s="586"/>
      <c r="V59" s="46"/>
    </row>
    <row r="60" spans="1:22">
      <c r="A60" s="46"/>
      <c r="B60" s="114"/>
      <c r="C60" s="115"/>
      <c r="D60" s="115"/>
      <c r="E60" s="115"/>
      <c r="F60" s="8"/>
      <c r="G60" s="8"/>
      <c r="H60" s="8"/>
      <c r="I60" s="8"/>
      <c r="J60" s="8"/>
      <c r="K60" s="8"/>
      <c r="L60" s="8"/>
      <c r="M60" s="8"/>
      <c r="N60" s="8"/>
      <c r="O60" s="8"/>
      <c r="P60" s="8"/>
      <c r="Q60" s="11"/>
      <c r="R60" s="11"/>
      <c r="S60" s="11"/>
      <c r="T60" s="11"/>
      <c r="U60" s="12"/>
      <c r="V60" s="46"/>
    </row>
    <row r="61" spans="1:22" ht="15" customHeight="1">
      <c r="A61" s="46"/>
      <c r="B61" s="116" t="s">
        <v>234</v>
      </c>
      <c r="C61" s="117"/>
      <c r="D61" s="76"/>
      <c r="E61" s="85"/>
      <c r="F61" s="11"/>
      <c r="G61" s="11"/>
      <c r="H61" s="11"/>
      <c r="I61" s="15">
        <v>16</v>
      </c>
      <c r="J61" s="15" t="s">
        <v>238</v>
      </c>
      <c r="K61" s="11"/>
      <c r="L61" s="11"/>
      <c r="M61" s="11"/>
      <c r="N61" s="11"/>
      <c r="O61" s="11"/>
      <c r="P61" s="11"/>
      <c r="Q61" s="11"/>
      <c r="R61" s="11"/>
      <c r="S61" s="11"/>
      <c r="T61" s="11"/>
      <c r="U61" s="12"/>
      <c r="V61" s="46"/>
    </row>
    <row r="62" spans="1:22" ht="15" customHeight="1">
      <c r="A62" s="46"/>
      <c r="B62" s="116" t="s">
        <v>235</v>
      </c>
      <c r="C62" s="66"/>
      <c r="D62" s="76"/>
      <c r="E62" s="85"/>
      <c r="F62" s="11"/>
      <c r="G62" s="11"/>
      <c r="H62" s="11"/>
      <c r="I62" s="15">
        <v>64</v>
      </c>
      <c r="J62" s="15" t="s">
        <v>239</v>
      </c>
      <c r="K62" s="11" t="s">
        <v>240</v>
      </c>
      <c r="L62" s="11"/>
      <c r="M62" s="11"/>
      <c r="N62" s="118">
        <f>(SUM(F53:F59)+SUM(K38:K59)+SUM(P38:P57))*$P$32</f>
        <v>15124154937.567291</v>
      </c>
      <c r="O62" s="11"/>
      <c r="P62" s="11"/>
      <c r="Q62" s="11"/>
      <c r="R62" s="11"/>
      <c r="S62" s="11"/>
      <c r="T62" s="11"/>
      <c r="U62" s="12"/>
      <c r="V62" s="46"/>
    </row>
    <row r="63" spans="1:22" ht="15" customHeight="1">
      <c r="A63" s="46"/>
      <c r="B63" s="116"/>
      <c r="C63" s="66"/>
      <c r="D63" s="76"/>
      <c r="E63" s="85"/>
      <c r="F63" s="11"/>
      <c r="G63" s="11"/>
      <c r="H63" s="11"/>
      <c r="I63" s="15"/>
      <c r="J63" s="15"/>
      <c r="K63" s="11"/>
      <c r="L63" s="11"/>
      <c r="M63" s="11"/>
      <c r="N63" s="118"/>
      <c r="O63" s="11"/>
      <c r="P63" s="11"/>
      <c r="Q63" s="11"/>
      <c r="R63" s="11"/>
      <c r="S63" s="11"/>
      <c r="T63" s="11"/>
      <c r="U63" s="12"/>
      <c r="V63" s="46"/>
    </row>
    <row r="64" spans="1:22">
      <c r="A64" s="46"/>
      <c r="B64" s="116"/>
      <c r="C64" s="66"/>
      <c r="D64" s="76"/>
      <c r="E64" s="85"/>
      <c r="F64" s="11"/>
      <c r="G64" s="11"/>
      <c r="H64" s="11"/>
      <c r="I64" s="11"/>
      <c r="J64" s="11"/>
      <c r="K64" s="11"/>
      <c r="L64" s="11"/>
      <c r="M64" s="11"/>
      <c r="N64" s="11"/>
      <c r="O64" s="11"/>
      <c r="P64" s="11"/>
      <c r="Q64" s="11"/>
      <c r="R64" s="11"/>
      <c r="S64" s="11"/>
      <c r="T64" s="11"/>
      <c r="U64" s="12"/>
      <c r="V64" s="46"/>
    </row>
    <row r="65" spans="1:23" ht="16.5">
      <c r="A65" s="46"/>
      <c r="B65" s="116" t="s">
        <v>241</v>
      </c>
      <c r="C65" s="66"/>
      <c r="D65" s="76"/>
      <c r="E65" s="85"/>
      <c r="F65" s="158" t="s">
        <v>291</v>
      </c>
      <c r="G65" s="147">
        <f>10*LOG10((1/D15)*N62)</f>
        <v>97.932179485115469</v>
      </c>
      <c r="H65" s="113" t="s">
        <v>28</v>
      </c>
      <c r="I65" s="11"/>
      <c r="J65" s="11"/>
      <c r="K65" s="11"/>
      <c r="L65" s="11"/>
      <c r="M65" s="11"/>
      <c r="N65" s="11"/>
      <c r="O65" s="11"/>
      <c r="P65" s="11"/>
      <c r="Q65" s="11"/>
      <c r="R65" s="11"/>
      <c r="S65" s="11"/>
      <c r="T65" s="11"/>
      <c r="U65" s="12"/>
      <c r="V65" s="46"/>
    </row>
    <row r="66" spans="1:23">
      <c r="A66" s="46"/>
      <c r="B66" s="116"/>
      <c r="C66" s="66"/>
      <c r="D66" s="66"/>
      <c r="E66" s="85"/>
      <c r="F66" s="11"/>
      <c r="G66" s="11"/>
      <c r="H66" s="11"/>
      <c r="I66" s="11"/>
      <c r="J66" s="11"/>
      <c r="K66" s="11"/>
      <c r="L66" s="11"/>
      <c r="M66" s="11"/>
      <c r="N66" s="11"/>
      <c r="O66" s="11"/>
      <c r="P66" s="11"/>
      <c r="Q66" s="11"/>
      <c r="R66" s="11"/>
      <c r="S66" s="11"/>
      <c r="T66" s="11"/>
      <c r="U66" s="12"/>
      <c r="V66" s="46"/>
    </row>
    <row r="67" spans="1:23">
      <c r="A67" s="46"/>
      <c r="B67" s="119"/>
      <c r="C67" s="120"/>
      <c r="D67" s="121"/>
      <c r="E67" s="122"/>
      <c r="F67" s="18"/>
      <c r="G67" s="18"/>
      <c r="H67" s="18"/>
      <c r="I67" s="18"/>
      <c r="J67" s="18"/>
      <c r="K67" s="18"/>
      <c r="L67" s="18"/>
      <c r="M67" s="18"/>
      <c r="N67" s="18"/>
      <c r="O67" s="18"/>
      <c r="P67" s="18"/>
      <c r="Q67" s="18"/>
      <c r="R67" s="18"/>
      <c r="S67" s="18"/>
      <c r="T67" s="18"/>
      <c r="U67" s="19"/>
      <c r="V67" s="46"/>
    </row>
    <row r="68" spans="1:23">
      <c r="A68" s="46"/>
      <c r="B68" s="79"/>
      <c r="C68" s="82"/>
      <c r="D68" s="82"/>
      <c r="E68" s="85"/>
      <c r="F68" s="11"/>
      <c r="G68" s="46"/>
      <c r="H68" s="46"/>
      <c r="I68" s="46"/>
      <c r="J68" s="46"/>
      <c r="K68" s="46"/>
      <c r="L68" s="46"/>
      <c r="M68" s="46"/>
      <c r="N68" s="46"/>
      <c r="O68" s="46"/>
      <c r="P68" s="46"/>
      <c r="Q68" s="46"/>
      <c r="R68" s="46"/>
      <c r="S68" s="46"/>
      <c r="T68" s="46"/>
      <c r="U68" s="46"/>
      <c r="V68" s="46"/>
      <c r="W68" s="46"/>
    </row>
    <row r="69" spans="1:23">
      <c r="A69" s="46"/>
      <c r="B69" s="132" t="s">
        <v>255</v>
      </c>
      <c r="C69" s="133"/>
      <c r="D69" s="133"/>
      <c r="E69" s="134"/>
      <c r="F69" s="8"/>
      <c r="G69" s="8"/>
      <c r="H69" s="8"/>
      <c r="I69" s="8"/>
      <c r="J69" s="8"/>
      <c r="K69" s="8"/>
      <c r="L69" s="8"/>
      <c r="M69" s="8"/>
      <c r="N69" s="8"/>
      <c r="O69" s="8"/>
      <c r="P69" s="8" t="s">
        <v>452</v>
      </c>
      <c r="Q69" s="8"/>
      <c r="R69" s="8"/>
      <c r="S69" s="8"/>
      <c r="T69" s="8"/>
      <c r="U69" s="9"/>
      <c r="V69" s="46"/>
    </row>
    <row r="70" spans="1:23" ht="39" customHeight="1">
      <c r="A70" s="46"/>
      <c r="B70" s="116"/>
      <c r="C70" s="66"/>
      <c r="D70" s="66"/>
      <c r="E70" s="496" t="s">
        <v>40</v>
      </c>
      <c r="F70" s="496" t="s">
        <v>41</v>
      </c>
      <c r="G70" s="495" t="s">
        <v>256</v>
      </c>
      <c r="H70" s="620" t="s">
        <v>267</v>
      </c>
      <c r="I70" s="501"/>
      <c r="J70" s="454"/>
      <c r="K70" s="455"/>
      <c r="L70" s="545" t="s">
        <v>264</v>
      </c>
      <c r="M70" s="504"/>
      <c r="N70" s="506"/>
      <c r="O70" s="11"/>
      <c r="P70" s="73" t="s">
        <v>716</v>
      </c>
      <c r="Q70" s="220"/>
      <c r="R70" s="220"/>
      <c r="S70" s="220"/>
      <c r="T70" s="220"/>
      <c r="U70" s="12"/>
      <c r="V70" s="46"/>
    </row>
    <row r="71" spans="1:23" ht="20" customHeight="1">
      <c r="A71" s="46"/>
      <c r="B71" s="116"/>
      <c r="C71" s="135"/>
      <c r="D71" s="66"/>
      <c r="E71" s="471"/>
      <c r="F71" s="471"/>
      <c r="G71" s="471"/>
      <c r="H71" s="261" t="s">
        <v>257</v>
      </c>
      <c r="I71" s="261" t="s">
        <v>258</v>
      </c>
      <c r="J71" s="261" t="s">
        <v>259</v>
      </c>
      <c r="K71" s="605" t="s">
        <v>260</v>
      </c>
      <c r="L71" s="429"/>
      <c r="M71" s="503"/>
      <c r="N71" s="430"/>
      <c r="O71" s="11"/>
      <c r="P71" s="73" t="s">
        <v>717</v>
      </c>
      <c r="Q71" s="220"/>
      <c r="R71" s="220"/>
      <c r="S71" s="220"/>
      <c r="T71" s="220"/>
      <c r="U71" s="12"/>
      <c r="V71" s="46"/>
    </row>
    <row r="72" spans="1:23">
      <c r="A72" s="46"/>
      <c r="B72" s="116"/>
      <c r="C72" s="66"/>
      <c r="D72" s="66"/>
      <c r="E72" s="69">
        <v>1</v>
      </c>
      <c r="F72" s="280">
        <v>7.5</v>
      </c>
      <c r="G72" s="280">
        <v>1.2</v>
      </c>
      <c r="H72" s="280"/>
      <c r="I72" s="280" t="s">
        <v>263</v>
      </c>
      <c r="J72" s="280"/>
      <c r="K72" s="280"/>
      <c r="L72" s="694" t="s">
        <v>268</v>
      </c>
      <c r="M72" s="695"/>
      <c r="N72" s="649"/>
      <c r="O72" s="11"/>
      <c r="P72" s="374" t="s">
        <v>718</v>
      </c>
      <c r="Q72" s="215"/>
      <c r="R72" s="215"/>
      <c r="S72" s="215"/>
      <c r="T72" s="215"/>
      <c r="U72" s="12"/>
      <c r="V72" s="46"/>
    </row>
    <row r="73" spans="1:23">
      <c r="A73" s="46"/>
      <c r="B73" s="116"/>
      <c r="C73" s="66"/>
      <c r="D73" s="66"/>
      <c r="E73" s="69">
        <v>2</v>
      </c>
      <c r="F73" s="280">
        <v>7.5</v>
      </c>
      <c r="G73" s="280">
        <v>3.5</v>
      </c>
      <c r="H73" s="280"/>
      <c r="I73" s="280" t="s">
        <v>263</v>
      </c>
      <c r="J73" s="280"/>
      <c r="K73" s="280"/>
      <c r="L73" s="508" t="s">
        <v>269</v>
      </c>
      <c r="M73" s="508"/>
      <c r="N73" s="508"/>
      <c r="O73" s="11"/>
      <c r="P73" s="376" t="s">
        <v>720</v>
      </c>
      <c r="Q73" s="215"/>
      <c r="R73" s="215"/>
      <c r="S73" s="215"/>
      <c r="T73" s="215"/>
      <c r="U73" s="12"/>
      <c r="V73" s="46"/>
    </row>
    <row r="74" spans="1:23">
      <c r="A74" s="46"/>
      <c r="B74" s="116"/>
      <c r="C74" s="66"/>
      <c r="D74" s="66"/>
      <c r="E74" s="69">
        <v>3</v>
      </c>
      <c r="F74" s="280">
        <v>25</v>
      </c>
      <c r="G74" s="280">
        <v>3.5</v>
      </c>
      <c r="H74" s="280"/>
      <c r="I74" s="280" t="s">
        <v>262</v>
      </c>
      <c r="J74" s="280"/>
      <c r="K74" s="281" t="s">
        <v>261</v>
      </c>
      <c r="L74" s="508" t="s">
        <v>265</v>
      </c>
      <c r="M74" s="508"/>
      <c r="N74" s="508"/>
      <c r="O74" s="11"/>
      <c r="P74" s="375" t="s">
        <v>719</v>
      </c>
      <c r="Q74" s="215"/>
      <c r="R74" s="215"/>
      <c r="S74" s="215"/>
      <c r="T74" s="215"/>
      <c r="U74" s="12"/>
      <c r="V74" s="46"/>
    </row>
    <row r="75" spans="1:23">
      <c r="A75" s="46"/>
      <c r="B75" s="116"/>
      <c r="C75" s="66"/>
      <c r="D75" s="66"/>
      <c r="E75" s="69">
        <v>4</v>
      </c>
      <c r="F75" s="280">
        <v>30</v>
      </c>
      <c r="G75" s="280">
        <v>1.2</v>
      </c>
      <c r="H75" s="280" t="s">
        <v>261</v>
      </c>
      <c r="I75" s="280"/>
      <c r="J75" s="280" t="s">
        <v>261</v>
      </c>
      <c r="K75" s="280"/>
      <c r="L75" s="508" t="s">
        <v>436</v>
      </c>
      <c r="M75" s="508"/>
      <c r="N75" s="508"/>
      <c r="O75" s="11"/>
      <c r="P75" s="374" t="s">
        <v>721</v>
      </c>
      <c r="Q75" s="213"/>
      <c r="R75" s="213"/>
      <c r="S75" s="213"/>
      <c r="T75" s="213"/>
      <c r="U75" s="12"/>
      <c r="V75" s="46"/>
    </row>
    <row r="76" spans="1:23" ht="19.5" customHeight="1">
      <c r="A76" s="46"/>
      <c r="B76" s="116"/>
      <c r="C76" s="136" t="s">
        <v>714</v>
      </c>
      <c r="D76" s="66"/>
      <c r="E76" s="109"/>
      <c r="F76" s="125"/>
      <c r="G76" s="125"/>
      <c r="H76" s="11"/>
      <c r="I76" s="11"/>
      <c r="J76" s="11"/>
      <c r="K76" s="11"/>
      <c r="L76" s="11"/>
      <c r="M76" s="11"/>
      <c r="N76" s="11"/>
      <c r="O76" s="11"/>
      <c r="P76" s="376" t="s">
        <v>722</v>
      </c>
      <c r="Q76" s="11"/>
      <c r="R76" s="11"/>
      <c r="S76" s="11"/>
      <c r="T76" s="11"/>
      <c r="U76" s="12"/>
      <c r="V76" s="46"/>
    </row>
    <row r="77" spans="1:23">
      <c r="A77" s="46"/>
      <c r="B77" s="116"/>
      <c r="C77" s="136" t="s">
        <v>715</v>
      </c>
      <c r="D77" s="66"/>
      <c r="E77" s="109"/>
      <c r="F77" s="11"/>
      <c r="G77" s="11"/>
      <c r="H77" s="11"/>
      <c r="I77" s="11"/>
      <c r="J77" s="11"/>
      <c r="K77" s="11"/>
      <c r="L77" s="11"/>
      <c r="M77" s="11"/>
      <c r="N77" s="11"/>
      <c r="O77" s="11"/>
      <c r="P77" s="376" t="s">
        <v>723</v>
      </c>
      <c r="Q77" s="11"/>
      <c r="R77" s="11"/>
      <c r="S77" s="11"/>
      <c r="T77" s="11"/>
      <c r="U77" s="12"/>
      <c r="V77" s="46"/>
    </row>
    <row r="78" spans="1:23" ht="33" customHeight="1">
      <c r="A78" s="46"/>
      <c r="B78" s="116"/>
      <c r="C78" s="66"/>
      <c r="D78" s="66"/>
      <c r="E78" s="496" t="s">
        <v>40</v>
      </c>
      <c r="F78" s="496" t="s">
        <v>41</v>
      </c>
      <c r="G78" s="496" t="s">
        <v>256</v>
      </c>
      <c r="H78" s="505" t="s">
        <v>803</v>
      </c>
      <c r="I78" s="415"/>
      <c r="J78" s="518" t="s">
        <v>802</v>
      </c>
      <c r="K78" s="415"/>
      <c r="L78" s="11"/>
      <c r="M78" s="11"/>
      <c r="N78" s="11"/>
      <c r="O78" s="11"/>
      <c r="P78" s="621"/>
      <c r="Q78" s="505" t="s">
        <v>808</v>
      </c>
      <c r="R78" s="504"/>
      <c r="S78" s="504"/>
      <c r="T78" s="506"/>
      <c r="U78" s="12"/>
      <c r="V78" s="46"/>
    </row>
    <row r="79" spans="1:23" ht="11" customHeight="1">
      <c r="A79" s="46"/>
      <c r="B79" s="116"/>
      <c r="C79" s="66"/>
      <c r="D79" s="66"/>
      <c r="E79" s="512"/>
      <c r="F79" s="512"/>
      <c r="G79" s="512"/>
      <c r="H79" s="672"/>
      <c r="I79" s="510"/>
      <c r="J79" s="672"/>
      <c r="K79" s="510"/>
      <c r="L79" s="11"/>
      <c r="M79" s="123" t="s">
        <v>271</v>
      </c>
      <c r="N79" s="11"/>
      <c r="O79" s="11"/>
      <c r="P79" s="11"/>
      <c r="Q79" s="429"/>
      <c r="R79" s="503" t="s">
        <v>809</v>
      </c>
      <c r="S79" s="619"/>
      <c r="T79" s="430"/>
      <c r="U79" s="12"/>
      <c r="V79" s="46"/>
    </row>
    <row r="80" spans="1:23" ht="21.5" customHeight="1">
      <c r="A80" s="46"/>
      <c r="B80" s="116"/>
      <c r="C80" s="66"/>
      <c r="D80" s="66"/>
      <c r="E80" s="587">
        <v>1</v>
      </c>
      <c r="F80" s="502">
        <v>7.5</v>
      </c>
      <c r="G80" s="697">
        <v>1.2</v>
      </c>
      <c r="H80" s="701"/>
      <c r="I80" s="703">
        <f>G65</f>
        <v>97.932179485115469</v>
      </c>
      <c r="J80" s="701"/>
      <c r="K80" s="724">
        <f>0.00002*10^(I80/20)</f>
        <v>1.5763003425009707</v>
      </c>
      <c r="L80" s="11"/>
      <c r="M80" s="11" t="s">
        <v>270</v>
      </c>
      <c r="N80" s="11"/>
      <c r="O80" s="11"/>
      <c r="P80" s="11"/>
      <c r="Q80" s="591" t="s">
        <v>399</v>
      </c>
      <c r="R80" s="590" t="s">
        <v>745</v>
      </c>
      <c r="S80" s="452"/>
      <c r="T80" s="516"/>
      <c r="U80" s="12"/>
      <c r="V80" s="46"/>
    </row>
    <row r="81" spans="1:22">
      <c r="A81" s="46"/>
      <c r="B81" s="116"/>
      <c r="C81" s="66"/>
      <c r="D81" s="66"/>
      <c r="E81" s="69">
        <v>2</v>
      </c>
      <c r="F81" s="280">
        <v>7.5</v>
      </c>
      <c r="G81" s="698">
        <v>3.5</v>
      </c>
      <c r="H81" s="701"/>
      <c r="I81" s="703">
        <f>I80*R129</f>
        <v>100.66419307590195</v>
      </c>
      <c r="J81" s="701"/>
      <c r="K81" s="724">
        <f>0.00002*10^(I81/20)</f>
        <v>2.1589354097300051</v>
      </c>
      <c r="L81" s="11"/>
      <c r="M81" s="112" t="s">
        <v>724</v>
      </c>
      <c r="N81" s="11"/>
      <c r="O81" s="11"/>
      <c r="P81" s="11"/>
      <c r="Q81" s="471"/>
      <c r="R81" s="261" t="s">
        <v>400</v>
      </c>
      <c r="S81" s="469" t="s">
        <v>401</v>
      </c>
      <c r="T81" s="261" t="s">
        <v>402</v>
      </c>
      <c r="U81" s="12"/>
      <c r="V81" s="46"/>
    </row>
    <row r="82" spans="1:22">
      <c r="A82" s="46"/>
      <c r="B82" s="116"/>
      <c r="C82" s="66"/>
      <c r="D82" s="66"/>
      <c r="E82" s="69">
        <v>3</v>
      </c>
      <c r="F82" s="280">
        <v>25</v>
      </c>
      <c r="G82" s="698">
        <v>3.5</v>
      </c>
      <c r="H82" s="701"/>
      <c r="I82" s="717">
        <f>I80*S129</f>
        <v>86.163505555573693</v>
      </c>
      <c r="J82" s="701"/>
      <c r="K82" s="724">
        <f>0.00002*10^(I82/20)</f>
        <v>0.40663548390233811</v>
      </c>
      <c r="L82" s="11"/>
      <c r="M82" s="11" t="s">
        <v>725</v>
      </c>
      <c r="N82" s="11"/>
      <c r="O82" s="11"/>
      <c r="P82" s="11"/>
      <c r="Q82" s="178">
        <v>271</v>
      </c>
      <c r="R82" s="179">
        <v>93.2</v>
      </c>
      <c r="S82" s="179">
        <v>95.8</v>
      </c>
      <c r="T82" s="179">
        <v>82</v>
      </c>
      <c r="U82" s="12"/>
      <c r="V82" s="46"/>
    </row>
    <row r="83" spans="1:22">
      <c r="A83" s="46"/>
      <c r="B83" s="116"/>
      <c r="C83" s="66"/>
      <c r="D83" s="66"/>
      <c r="E83" s="69">
        <v>4</v>
      </c>
      <c r="F83" s="280">
        <v>30</v>
      </c>
      <c r="G83" s="698">
        <v>1.2</v>
      </c>
      <c r="H83" s="17"/>
      <c r="I83" s="717">
        <f>I82-10*LOG10(F83/F82)</f>
        <v>85.371693095097442</v>
      </c>
      <c r="J83" s="17"/>
      <c r="K83" s="724">
        <f>0.00002*10^(I83/20)</f>
        <v>0.37120571202556568</v>
      </c>
      <c r="L83" s="11"/>
      <c r="M83" s="11" t="s">
        <v>726</v>
      </c>
      <c r="N83" s="11"/>
      <c r="O83" s="11"/>
      <c r="P83" s="11"/>
      <c r="Q83" s="178">
        <v>341</v>
      </c>
      <c r="R83" s="179">
        <v>96.5</v>
      </c>
      <c r="S83" s="179">
        <v>98</v>
      </c>
      <c r="T83" s="179">
        <v>85.5</v>
      </c>
      <c r="U83" s="12"/>
      <c r="V83" s="46"/>
    </row>
    <row r="84" spans="1:22">
      <c r="A84" s="46"/>
      <c r="B84" s="116"/>
      <c r="C84" s="76"/>
      <c r="D84" s="66"/>
      <c r="E84" s="139" t="s">
        <v>86</v>
      </c>
      <c r="F84" s="11"/>
      <c r="G84" s="11"/>
      <c r="H84" s="11"/>
      <c r="I84" s="11"/>
      <c r="J84" s="11"/>
      <c r="K84" s="11"/>
      <c r="L84" s="11"/>
      <c r="M84" s="11" t="s">
        <v>727</v>
      </c>
      <c r="N84" s="11"/>
      <c r="O84" s="11"/>
      <c r="P84" s="11"/>
      <c r="Q84" s="178">
        <v>386</v>
      </c>
      <c r="R84" s="179">
        <v>98.5</v>
      </c>
      <c r="S84" s="179">
        <v>100.1</v>
      </c>
      <c r="T84" s="179">
        <v>88.1</v>
      </c>
      <c r="U84" s="12"/>
      <c r="V84" s="46"/>
    </row>
    <row r="85" spans="1:22">
      <c r="A85" s="46"/>
      <c r="B85" s="119"/>
      <c r="C85" s="120"/>
      <c r="D85" s="137"/>
      <c r="E85" s="138"/>
      <c r="F85" s="18"/>
      <c r="G85" s="18"/>
      <c r="H85" s="18"/>
      <c r="I85" s="18"/>
      <c r="J85" s="18"/>
      <c r="K85" s="18"/>
      <c r="L85" s="18"/>
      <c r="M85" s="18"/>
      <c r="N85" s="18"/>
      <c r="O85" s="18"/>
      <c r="P85" s="18"/>
      <c r="Q85" s="18"/>
      <c r="R85" s="18"/>
      <c r="S85" s="18"/>
      <c r="T85" s="18"/>
      <c r="U85" s="19"/>
      <c r="V85" s="46"/>
    </row>
    <row r="86" spans="1:22">
      <c r="A86" s="46"/>
      <c r="B86" s="76"/>
      <c r="C86" s="76"/>
      <c r="D86" s="66"/>
      <c r="E86" s="139"/>
      <c r="F86" s="11"/>
      <c r="G86" s="11"/>
      <c r="H86" s="11"/>
      <c r="I86" s="11"/>
      <c r="J86" s="11"/>
      <c r="K86" s="11"/>
      <c r="L86" s="11"/>
      <c r="M86" s="11"/>
      <c r="N86" s="11"/>
      <c r="O86" s="11"/>
      <c r="P86" s="11"/>
      <c r="Q86" s="11"/>
      <c r="R86" s="11"/>
      <c r="S86" s="11"/>
      <c r="T86" s="11"/>
      <c r="U86" s="11"/>
      <c r="V86" s="46"/>
    </row>
    <row r="87" spans="1:22">
      <c r="A87" s="46"/>
      <c r="B87" s="132" t="s">
        <v>272</v>
      </c>
      <c r="C87" s="140"/>
      <c r="D87" s="133"/>
      <c r="E87" s="141"/>
      <c r="F87" s="8"/>
      <c r="G87" s="8"/>
      <c r="H87" s="8"/>
      <c r="I87" s="8"/>
      <c r="J87" s="8"/>
      <c r="K87" s="8"/>
      <c r="L87" s="8"/>
      <c r="M87" s="8"/>
      <c r="N87" s="8"/>
      <c r="O87" s="8"/>
      <c r="P87" s="8"/>
      <c r="Q87" s="8"/>
      <c r="R87" s="8"/>
      <c r="S87" s="8"/>
      <c r="T87" s="8"/>
      <c r="U87" s="9"/>
      <c r="V87" s="46"/>
    </row>
    <row r="88" spans="1:22" ht="16.5">
      <c r="A88" s="46"/>
      <c r="B88" s="116" t="s">
        <v>382</v>
      </c>
      <c r="C88" s="76"/>
      <c r="D88" s="66"/>
      <c r="E88" s="139"/>
      <c r="F88" s="11"/>
      <c r="G88" s="11"/>
      <c r="H88" s="158" t="s">
        <v>712</v>
      </c>
      <c r="I88" s="11" t="s">
        <v>711</v>
      </c>
      <c r="J88" s="11"/>
      <c r="K88" s="11"/>
      <c r="L88" s="11"/>
      <c r="M88" s="11"/>
      <c r="N88" s="11"/>
      <c r="O88" s="11"/>
      <c r="P88" s="11"/>
      <c r="Q88" s="11"/>
      <c r="R88" s="11"/>
      <c r="S88" s="11"/>
      <c r="T88" s="11"/>
      <c r="U88" s="12"/>
      <c r="V88" s="46"/>
    </row>
    <row r="89" spans="1:22" ht="16.5">
      <c r="A89" s="46"/>
      <c r="B89" s="145" t="s">
        <v>712</v>
      </c>
      <c r="C89" s="158"/>
      <c r="D89" s="200">
        <f>MAX('Passby Data Set 2'!D24:D108)</f>
        <v>102</v>
      </c>
      <c r="E89" s="143" t="s">
        <v>28</v>
      </c>
      <c r="F89" s="11" t="s">
        <v>273</v>
      </c>
      <c r="G89" s="11"/>
      <c r="H89" s="15">
        <v>46</v>
      </c>
      <c r="I89" s="11" t="s">
        <v>812</v>
      </c>
      <c r="K89" s="107">
        <v>2.25</v>
      </c>
      <c r="L89" s="11" t="s">
        <v>237</v>
      </c>
      <c r="M89" s="11"/>
      <c r="N89" s="11"/>
      <c r="O89" s="11"/>
      <c r="P89" s="11"/>
      <c r="Q89" s="11"/>
      <c r="R89" s="11"/>
      <c r="S89" s="11"/>
      <c r="T89" s="11"/>
      <c r="U89" s="12"/>
      <c r="V89" s="46"/>
    </row>
    <row r="90" spans="1:22">
      <c r="A90" s="46"/>
      <c r="B90" s="116"/>
      <c r="C90" s="76"/>
      <c r="D90" s="66"/>
      <c r="E90" s="143"/>
      <c r="F90" s="11"/>
      <c r="G90" s="11"/>
      <c r="H90" s="15"/>
      <c r="I90" s="11"/>
      <c r="J90" s="107"/>
      <c r="K90" s="11"/>
      <c r="L90" s="11"/>
      <c r="M90" s="11"/>
      <c r="N90" s="11"/>
      <c r="O90" s="11"/>
      <c r="P90" s="11"/>
      <c r="Q90" s="11"/>
      <c r="R90" s="11"/>
      <c r="S90" s="11"/>
      <c r="T90" s="11"/>
      <c r="U90" s="12"/>
      <c r="V90" s="46"/>
    </row>
    <row r="91" spans="1:22" ht="16.5">
      <c r="A91" s="46"/>
      <c r="B91" s="144" t="s">
        <v>274</v>
      </c>
      <c r="C91" s="76"/>
      <c r="D91" s="66"/>
      <c r="E91" s="143"/>
      <c r="F91" s="11"/>
      <c r="G91" s="11"/>
      <c r="H91" s="15"/>
      <c r="I91" s="11"/>
      <c r="J91" s="107"/>
      <c r="K91" s="11"/>
      <c r="L91" s="11"/>
      <c r="M91" s="11"/>
      <c r="N91" s="11"/>
      <c r="O91" s="11"/>
      <c r="P91" s="11"/>
      <c r="Q91" s="11"/>
      <c r="R91" s="11"/>
      <c r="S91" s="11"/>
      <c r="T91" s="11"/>
      <c r="U91" s="12"/>
      <c r="V91" s="46"/>
    </row>
    <row r="92" spans="1:22">
      <c r="A92" s="46"/>
      <c r="B92" s="145"/>
      <c r="C92" s="76"/>
      <c r="D92" s="66"/>
      <c r="E92" s="139"/>
      <c r="F92" s="11"/>
      <c r="G92" s="11"/>
      <c r="H92" s="11"/>
      <c r="I92" s="11"/>
      <c r="J92" s="11"/>
      <c r="K92" s="11"/>
      <c r="L92" s="11"/>
      <c r="M92" s="11" t="s">
        <v>190</v>
      </c>
      <c r="N92" s="11"/>
      <c r="O92" s="11"/>
      <c r="P92" s="11"/>
      <c r="Q92" s="11"/>
      <c r="R92" s="11"/>
      <c r="S92" s="11"/>
      <c r="T92" s="11"/>
      <c r="U92" s="12"/>
      <c r="V92" s="46"/>
    </row>
    <row r="93" spans="1:22" ht="16.5">
      <c r="A93" s="46"/>
      <c r="B93" s="116" t="s">
        <v>275</v>
      </c>
      <c r="C93" s="76"/>
      <c r="D93" s="66"/>
      <c r="E93" s="139"/>
      <c r="F93" s="11"/>
      <c r="G93" s="11"/>
      <c r="H93" s="11"/>
      <c r="I93" s="11"/>
      <c r="J93" s="11"/>
      <c r="K93" s="11"/>
      <c r="L93" s="11" t="s">
        <v>278</v>
      </c>
      <c r="M93" s="11"/>
      <c r="N93" s="11"/>
      <c r="O93" s="11"/>
      <c r="P93" s="11"/>
      <c r="Q93" s="11"/>
      <c r="R93" s="11"/>
      <c r="S93" s="11"/>
      <c r="T93" s="11"/>
      <c r="U93" s="12"/>
      <c r="V93" s="46"/>
    </row>
    <row r="94" spans="1:22">
      <c r="A94" s="46"/>
      <c r="B94" s="116"/>
      <c r="C94" s="76"/>
      <c r="D94" s="66"/>
      <c r="E94" s="139"/>
      <c r="F94" s="11"/>
      <c r="G94" s="11"/>
      <c r="H94" s="11"/>
      <c r="I94" s="11"/>
      <c r="J94" s="11"/>
      <c r="K94" s="11"/>
      <c r="L94" s="11" t="s">
        <v>279</v>
      </c>
      <c r="M94" s="11"/>
      <c r="N94" s="11"/>
      <c r="O94" s="11"/>
      <c r="P94" s="11"/>
      <c r="Q94" s="11"/>
      <c r="R94" s="11"/>
      <c r="S94" s="11"/>
      <c r="T94" s="11"/>
      <c r="U94" s="12"/>
      <c r="V94" s="46"/>
    </row>
    <row r="95" spans="1:22" ht="16.5">
      <c r="A95" s="46"/>
      <c r="B95" s="116" t="s">
        <v>276</v>
      </c>
      <c r="C95" s="76"/>
      <c r="D95" s="66"/>
      <c r="E95" s="139"/>
      <c r="F95" s="15">
        <v>1.5</v>
      </c>
      <c r="G95" s="11" t="s">
        <v>277</v>
      </c>
      <c r="H95" s="11">
        <v>2.5</v>
      </c>
      <c r="I95" s="11"/>
      <c r="J95" s="112" t="s">
        <v>284</v>
      </c>
      <c r="K95" s="112"/>
      <c r="L95" s="147">
        <f t="array" ref="L95">10*LOG(AVERAGE(10^('Passby Data Set 2'!D54:'Passby Data Set 2'!D74/10)))</f>
        <v>99.663228156470112</v>
      </c>
      <c r="M95" s="113" t="s">
        <v>28</v>
      </c>
      <c r="N95" s="11"/>
      <c r="O95" s="11"/>
      <c r="P95" s="11"/>
      <c r="Q95" s="11"/>
      <c r="R95" s="11"/>
      <c r="S95" s="11"/>
      <c r="T95" s="11"/>
      <c r="U95" s="12"/>
      <c r="V95" s="46"/>
    </row>
    <row r="96" spans="1:22" ht="16.5">
      <c r="A96" s="46"/>
      <c r="B96" s="116" t="s">
        <v>280</v>
      </c>
      <c r="C96" s="76"/>
      <c r="D96" s="66"/>
      <c r="E96" s="139"/>
      <c r="F96" s="11"/>
      <c r="G96" s="11"/>
      <c r="H96" s="11"/>
      <c r="I96" s="11"/>
      <c r="J96" s="11"/>
      <c r="K96" s="11"/>
      <c r="L96" s="11"/>
      <c r="M96" s="11"/>
      <c r="N96" s="11"/>
      <c r="O96" s="11"/>
      <c r="P96" s="11"/>
      <c r="Q96" s="11"/>
      <c r="R96" s="11"/>
      <c r="S96" s="11"/>
      <c r="T96" s="11"/>
      <c r="U96" s="12"/>
      <c r="V96" s="46"/>
    </row>
    <row r="97" spans="1:22" ht="16.5">
      <c r="A97" s="46"/>
      <c r="B97" s="119" t="s">
        <v>898</v>
      </c>
      <c r="C97" s="120"/>
      <c r="D97" s="137"/>
      <c r="E97" s="138"/>
      <c r="F97" s="18"/>
      <c r="G97" s="146">
        <v>2.15</v>
      </c>
      <c r="H97" s="108" t="s">
        <v>277</v>
      </c>
      <c r="I97" s="108">
        <v>2.2749999999999999</v>
      </c>
      <c r="J97" s="18"/>
      <c r="K97" s="148" t="s">
        <v>285</v>
      </c>
      <c r="L97" s="149">
        <f t="array" ref="L97">10*LOG(AVERAGE(10^('Passby Data Set 2'!D67:'Passby Data Set 2'!D70/10)))</f>
        <v>101.09945485205508</v>
      </c>
      <c r="M97" s="150" t="s">
        <v>28</v>
      </c>
      <c r="N97" s="18"/>
      <c r="O97" s="18"/>
      <c r="P97" s="18"/>
      <c r="Q97" s="18"/>
      <c r="R97" s="18"/>
      <c r="S97" s="18"/>
      <c r="T97" s="18"/>
      <c r="U97" s="19"/>
      <c r="V97" s="46"/>
    </row>
    <row r="98" spans="1:22">
      <c r="A98" s="46"/>
      <c r="B98" s="79"/>
      <c r="C98" s="79"/>
      <c r="D98" s="82"/>
      <c r="E98" s="126"/>
      <c r="F98" s="46"/>
      <c r="G98" s="46"/>
      <c r="H98" s="46"/>
      <c r="I98" s="46"/>
      <c r="J98" s="46"/>
      <c r="K98" s="46"/>
      <c r="L98" s="46"/>
      <c r="M98" s="46"/>
      <c r="N98" s="46"/>
      <c r="O98" s="46"/>
      <c r="P98" s="46"/>
      <c r="Q98" s="46"/>
      <c r="R98" s="46"/>
      <c r="S98" s="46"/>
      <c r="T98" s="46"/>
      <c r="U98" s="46"/>
      <c r="V98" s="46"/>
    </row>
    <row r="99" spans="1:22">
      <c r="A99" s="46"/>
      <c r="B99" s="132" t="s">
        <v>286</v>
      </c>
      <c r="C99" s="140"/>
      <c r="D99" s="133"/>
      <c r="E99" s="141"/>
      <c r="F99" s="8"/>
      <c r="G99" s="8"/>
      <c r="H99" s="8"/>
      <c r="I99" s="8"/>
      <c r="J99" s="8"/>
      <c r="K99" s="8"/>
      <c r="L99" s="8"/>
      <c r="M99" s="8"/>
      <c r="N99" s="8"/>
      <c r="O99" s="8"/>
      <c r="P99" s="8"/>
      <c r="Q99" s="8"/>
      <c r="R99" s="8"/>
      <c r="S99" s="8"/>
      <c r="T99" s="8"/>
      <c r="U99" s="9"/>
      <c r="V99" s="46"/>
    </row>
    <row r="100" spans="1:22">
      <c r="A100" s="46"/>
      <c r="B100" s="116" t="s">
        <v>382</v>
      </c>
      <c r="C100" s="76"/>
      <c r="D100" s="66"/>
      <c r="E100" s="139"/>
      <c r="F100" s="11"/>
      <c r="G100" s="11"/>
      <c r="H100" s="11"/>
      <c r="I100" s="11"/>
      <c r="J100" s="11"/>
      <c r="K100" s="11"/>
      <c r="L100" s="11"/>
      <c r="M100" s="11"/>
      <c r="N100" s="11"/>
      <c r="O100" s="11"/>
      <c r="P100" s="11"/>
      <c r="Q100" s="11"/>
      <c r="R100" s="11"/>
      <c r="S100" s="11"/>
      <c r="T100" s="11"/>
      <c r="U100" s="12"/>
      <c r="V100" s="46"/>
    </row>
    <row r="101" spans="1:22" ht="15">
      <c r="A101" s="46"/>
      <c r="B101" s="155" t="s">
        <v>813</v>
      </c>
      <c r="C101" s="160"/>
      <c r="D101" s="66"/>
      <c r="E101" s="11"/>
      <c r="F101" s="11"/>
      <c r="G101" s="11"/>
      <c r="H101" s="11"/>
      <c r="I101" s="11"/>
      <c r="J101" s="11"/>
      <c r="K101" s="11"/>
      <c r="L101" s="11"/>
      <c r="M101" s="11"/>
      <c r="N101" s="11"/>
      <c r="O101" s="11"/>
      <c r="P101" s="11"/>
      <c r="Q101" s="11"/>
      <c r="R101" s="11"/>
      <c r="S101" s="11"/>
      <c r="T101" s="11"/>
      <c r="U101" s="12"/>
      <c r="V101" s="46"/>
    </row>
    <row r="102" spans="1:22">
      <c r="A102" s="46"/>
      <c r="B102" s="155" t="s">
        <v>814</v>
      </c>
      <c r="C102" s="160"/>
      <c r="D102" s="66"/>
      <c r="E102" s="11"/>
      <c r="F102" s="11"/>
      <c r="G102" s="11"/>
      <c r="H102" s="11"/>
      <c r="I102" s="11"/>
      <c r="J102" s="11"/>
      <c r="K102" s="11"/>
      <c r="L102" s="11"/>
      <c r="M102" s="11"/>
      <c r="N102" s="11"/>
      <c r="O102" s="11"/>
      <c r="P102" s="11"/>
      <c r="Q102" s="11"/>
      <c r="R102" s="11"/>
      <c r="S102" s="11"/>
      <c r="T102" s="11"/>
      <c r="U102" s="12"/>
      <c r="V102" s="46"/>
    </row>
    <row r="103" spans="1:22">
      <c r="A103" s="46"/>
      <c r="B103" s="116" t="s">
        <v>485</v>
      </c>
      <c r="C103" s="117"/>
      <c r="D103" s="76"/>
      <c r="E103" s="85"/>
      <c r="F103" s="11"/>
      <c r="G103" s="11"/>
      <c r="H103" s="11"/>
      <c r="I103" s="15">
        <v>1</v>
      </c>
      <c r="J103" s="15" t="s">
        <v>238</v>
      </c>
      <c r="K103" s="11"/>
      <c r="L103" s="11"/>
      <c r="M103" s="11"/>
      <c r="N103" s="11"/>
      <c r="O103" s="11"/>
      <c r="P103" s="11"/>
      <c r="Q103" s="11"/>
      <c r="R103" s="11"/>
      <c r="S103" s="11"/>
      <c r="T103" s="11"/>
      <c r="U103" s="12"/>
      <c r="V103" s="46"/>
    </row>
    <row r="104" spans="1:22" ht="16.5">
      <c r="A104" s="46"/>
      <c r="B104" s="116" t="s">
        <v>486</v>
      </c>
      <c r="C104" s="66"/>
      <c r="D104" s="76"/>
      <c r="E104" s="85"/>
      <c r="F104" s="11"/>
      <c r="G104" s="11"/>
      <c r="H104" s="11"/>
      <c r="I104" s="15">
        <v>85</v>
      </c>
      <c r="J104" s="15" t="s">
        <v>239</v>
      </c>
      <c r="K104" s="11" t="s">
        <v>240</v>
      </c>
      <c r="L104" s="11"/>
      <c r="M104" s="11"/>
      <c r="N104" s="118">
        <f>(SUM(F38:F59)+SUM(K38:K59)+SUM(P38:P59)+SUM(U38:U56))*$P$32</f>
        <v>15916888422.345512</v>
      </c>
      <c r="O104" s="11"/>
      <c r="P104" s="11" t="s">
        <v>296</v>
      </c>
      <c r="Q104" s="107">
        <f>R56-C38</f>
        <v>4.1999999999999931</v>
      </c>
      <c r="R104" s="11" t="s">
        <v>237</v>
      </c>
      <c r="S104" s="11"/>
      <c r="T104" s="11"/>
      <c r="U104" s="12"/>
      <c r="V104" s="46"/>
    </row>
    <row r="105" spans="1:22">
      <c r="A105" s="46"/>
      <c r="B105" s="116"/>
      <c r="C105" s="66"/>
      <c r="D105" s="76"/>
      <c r="E105" s="85"/>
      <c r="F105" s="11"/>
      <c r="G105" s="11"/>
      <c r="H105" s="11"/>
      <c r="I105" s="15"/>
      <c r="J105" s="15"/>
      <c r="K105" s="11"/>
      <c r="L105" s="11"/>
      <c r="M105" s="11"/>
      <c r="N105" s="118"/>
      <c r="O105" s="11"/>
      <c r="P105" s="11"/>
      <c r="Q105" s="11"/>
      <c r="R105" s="11"/>
      <c r="S105" s="11"/>
      <c r="T105" s="11"/>
      <c r="U105" s="12"/>
      <c r="V105" s="46"/>
    </row>
    <row r="106" spans="1:22">
      <c r="A106" s="46"/>
      <c r="B106" s="116"/>
      <c r="C106" s="66"/>
      <c r="D106" s="76"/>
      <c r="E106" s="85"/>
      <c r="F106" s="11"/>
      <c r="G106" s="11"/>
      <c r="H106" s="11"/>
      <c r="I106" s="11"/>
      <c r="J106" s="11"/>
      <c r="K106" s="11"/>
      <c r="L106" s="11"/>
      <c r="M106" s="11"/>
      <c r="N106" s="11"/>
      <c r="O106" s="11"/>
      <c r="P106" s="46"/>
      <c r="Q106" s="11"/>
      <c r="R106" s="11"/>
      <c r="S106" s="11"/>
      <c r="T106" s="11"/>
      <c r="U106" s="12"/>
      <c r="V106" s="46"/>
    </row>
    <row r="107" spans="1:22" ht="16.5">
      <c r="A107" s="46"/>
      <c r="B107" s="116" t="s">
        <v>295</v>
      </c>
      <c r="C107" s="66"/>
      <c r="D107" s="76"/>
      <c r="E107" s="85"/>
      <c r="F107" s="158" t="s">
        <v>297</v>
      </c>
      <c r="G107" s="147">
        <f>10*LOG10((1/Q104)*N104)</f>
        <v>95.786088814784392</v>
      </c>
      <c r="H107" s="113" t="s">
        <v>28</v>
      </c>
      <c r="I107" s="11"/>
      <c r="J107" s="11"/>
      <c r="K107" s="11"/>
      <c r="L107" s="11"/>
      <c r="M107" s="11"/>
      <c r="N107" s="11"/>
      <c r="O107" s="11"/>
      <c r="P107" s="46"/>
      <c r="Q107" s="11"/>
      <c r="R107" s="11"/>
      <c r="S107" s="11"/>
      <c r="T107" s="11"/>
      <c r="U107" s="12"/>
      <c r="V107" s="46"/>
    </row>
    <row r="108" spans="1:22">
      <c r="A108" s="46"/>
      <c r="B108" s="116"/>
      <c r="C108" s="66"/>
      <c r="D108" s="66"/>
      <c r="E108" s="85"/>
      <c r="F108" s="11"/>
      <c r="G108" s="11"/>
      <c r="H108" s="11"/>
      <c r="I108" s="11"/>
      <c r="J108" s="11"/>
      <c r="K108" s="11"/>
      <c r="L108" s="11"/>
      <c r="M108" s="11"/>
      <c r="N108" s="11"/>
      <c r="O108" s="11"/>
      <c r="P108" s="46"/>
      <c r="Q108" s="11"/>
      <c r="R108" s="11"/>
      <c r="S108" s="11"/>
      <c r="T108" s="11"/>
      <c r="U108" s="12"/>
      <c r="V108" s="46"/>
    </row>
    <row r="109" spans="1:22">
      <c r="A109" s="46"/>
      <c r="B109" s="116"/>
      <c r="C109" s="76"/>
      <c r="D109" s="159"/>
      <c r="E109" s="85"/>
      <c r="F109" s="11"/>
      <c r="G109" s="11"/>
      <c r="H109" s="11"/>
      <c r="I109" s="11"/>
      <c r="J109" s="11"/>
      <c r="K109" s="11"/>
      <c r="L109" s="11"/>
      <c r="M109" s="11"/>
      <c r="N109" s="11"/>
      <c r="O109" s="11"/>
      <c r="Q109" s="11"/>
      <c r="R109" s="11"/>
      <c r="S109" s="11"/>
      <c r="T109" s="11"/>
      <c r="U109" s="12"/>
      <c r="V109" s="46"/>
    </row>
    <row r="110" spans="1:22" ht="16.5">
      <c r="A110" s="46"/>
      <c r="B110" s="116" t="s">
        <v>301</v>
      </c>
      <c r="C110" s="160"/>
      <c r="D110" s="66"/>
      <c r="E110" s="109" t="s">
        <v>302</v>
      </c>
      <c r="F110" s="11"/>
      <c r="G110" s="11"/>
      <c r="H110" s="11"/>
      <c r="I110" s="11"/>
      <c r="J110" s="11"/>
      <c r="K110" s="11"/>
      <c r="L110" s="11"/>
      <c r="M110" s="11"/>
      <c r="N110" s="11"/>
      <c r="O110" s="11"/>
      <c r="P110" s="11"/>
      <c r="Q110" s="11"/>
      <c r="R110" s="11"/>
      <c r="S110" s="11"/>
      <c r="T110" s="11"/>
      <c r="U110" s="12"/>
      <c r="V110" s="46"/>
    </row>
    <row r="111" spans="1:22" ht="16.5">
      <c r="A111" s="46"/>
      <c r="B111" s="116"/>
      <c r="C111" s="160"/>
      <c r="D111" s="66"/>
      <c r="E111" s="109" t="s">
        <v>384</v>
      </c>
      <c r="F111" s="11"/>
      <c r="G111" s="11"/>
      <c r="H111" s="11"/>
      <c r="I111" s="11" t="s">
        <v>304</v>
      </c>
      <c r="J111" s="11"/>
      <c r="K111" s="11"/>
      <c r="L111" s="112" t="s">
        <v>305</v>
      </c>
      <c r="M111" s="112">
        <f>G65+10*LOG10(D17/D15)</f>
        <v>98.539228105749828</v>
      </c>
      <c r="N111" s="113" t="s">
        <v>28</v>
      </c>
      <c r="O111" s="11"/>
      <c r="P111" s="11"/>
      <c r="Q111" s="11"/>
      <c r="R111" s="11"/>
      <c r="S111" s="11"/>
      <c r="T111" s="11"/>
      <c r="U111" s="12"/>
      <c r="V111" s="46"/>
    </row>
    <row r="112" spans="1:22" ht="16.5">
      <c r="A112" s="46"/>
      <c r="B112" s="116" t="s">
        <v>306</v>
      </c>
      <c r="C112" s="160"/>
      <c r="D112" s="66"/>
      <c r="E112" s="109" t="s">
        <v>307</v>
      </c>
      <c r="F112" s="11"/>
      <c r="G112" s="11"/>
      <c r="H112" s="11"/>
      <c r="I112" s="11"/>
      <c r="J112" s="11"/>
      <c r="K112" s="11"/>
      <c r="L112" s="11"/>
      <c r="M112" s="11"/>
      <c r="N112" s="11"/>
      <c r="O112" s="11"/>
      <c r="P112" s="11"/>
      <c r="Q112" s="11"/>
      <c r="R112" s="11"/>
      <c r="S112" s="11"/>
      <c r="T112" s="11"/>
      <c r="U112" s="12"/>
      <c r="V112" s="46"/>
    </row>
    <row r="113" spans="1:22" ht="16.5">
      <c r="A113" s="46"/>
      <c r="B113" s="116"/>
      <c r="C113" s="160"/>
      <c r="D113" s="66"/>
      <c r="E113" s="162" t="s">
        <v>308</v>
      </c>
      <c r="F113" s="147">
        <f>G65+10*LOG10(D15)+1</f>
        <v>102.79671117790329</v>
      </c>
      <c r="G113" s="112" t="s">
        <v>28</v>
      </c>
      <c r="H113" s="112"/>
      <c r="I113" s="112" t="s">
        <v>343</v>
      </c>
      <c r="J113" s="147">
        <f>F113-10*LOG10(7.5/30)</f>
        <v>108.81731109118292</v>
      </c>
      <c r="K113" s="112" t="s">
        <v>28</v>
      </c>
      <c r="L113" s="112" t="s">
        <v>398</v>
      </c>
      <c r="M113" s="147">
        <f>F113-10*LOG10(25/30)</f>
        <v>103.58852363837954</v>
      </c>
      <c r="N113" s="211" t="s">
        <v>28</v>
      </c>
      <c r="O113" s="11" t="s">
        <v>309</v>
      </c>
      <c r="P113" s="11"/>
      <c r="Q113" s="11"/>
      <c r="R113" s="11" t="s">
        <v>310</v>
      </c>
      <c r="S113" s="11"/>
      <c r="T113" s="11"/>
      <c r="U113" s="12"/>
      <c r="V113" s="46"/>
    </row>
    <row r="114" spans="1:22">
      <c r="A114" s="46"/>
      <c r="B114" s="116"/>
      <c r="C114" s="160"/>
      <c r="D114" s="66"/>
      <c r="E114" s="109" t="s">
        <v>311</v>
      </c>
      <c r="F114" s="11"/>
      <c r="G114" s="11"/>
      <c r="H114" s="11"/>
      <c r="I114" s="11"/>
      <c r="J114" s="11"/>
      <c r="K114" s="11"/>
      <c r="L114" s="11"/>
      <c r="M114" s="11"/>
      <c r="N114" s="11"/>
      <c r="O114" s="11"/>
      <c r="P114" s="11"/>
      <c r="Q114" s="11"/>
      <c r="R114" s="11"/>
      <c r="S114" s="11"/>
      <c r="T114" s="11"/>
      <c r="U114" s="12"/>
      <c r="V114" s="46"/>
    </row>
    <row r="115" spans="1:22">
      <c r="A115" s="46"/>
      <c r="B115" s="116"/>
      <c r="C115" s="160"/>
      <c r="D115" s="66"/>
      <c r="E115" s="109" t="s">
        <v>312</v>
      </c>
      <c r="F115" s="11"/>
      <c r="G115" s="11"/>
      <c r="H115" s="11"/>
      <c r="I115" s="11"/>
      <c r="J115" s="11"/>
      <c r="K115" s="11"/>
      <c r="L115" s="11"/>
      <c r="M115" s="11"/>
      <c r="N115" s="11"/>
      <c r="O115" s="11"/>
      <c r="P115" s="11"/>
      <c r="Q115" s="11"/>
      <c r="R115" s="11"/>
      <c r="S115" s="11"/>
      <c r="T115" s="11"/>
      <c r="U115" s="12"/>
      <c r="V115" s="46"/>
    </row>
    <row r="116" spans="1:22">
      <c r="A116" s="46"/>
      <c r="B116" s="145" t="s">
        <v>313</v>
      </c>
      <c r="C116" s="160"/>
      <c r="D116" s="66"/>
      <c r="E116" s="109"/>
      <c r="F116" s="11"/>
      <c r="G116" s="11"/>
      <c r="H116" s="11"/>
      <c r="I116" s="11"/>
      <c r="J116" s="11"/>
      <c r="K116" s="11"/>
      <c r="L116" s="11"/>
      <c r="M116" s="11"/>
      <c r="N116" s="11"/>
      <c r="O116" s="11"/>
      <c r="P116" s="11"/>
      <c r="Q116" s="11"/>
      <c r="R116" s="11"/>
      <c r="S116" s="11"/>
      <c r="T116" s="11"/>
      <c r="U116" s="12"/>
      <c r="V116" s="46"/>
    </row>
    <row r="117" spans="1:22">
      <c r="A117" s="46"/>
      <c r="B117" s="116" t="s">
        <v>321</v>
      </c>
      <c r="C117" s="160"/>
      <c r="D117" s="66"/>
      <c r="E117" s="109"/>
      <c r="F117" s="11"/>
      <c r="G117" s="11"/>
      <c r="H117" s="11"/>
      <c r="I117" s="11"/>
      <c r="J117" s="11"/>
      <c r="K117" s="11"/>
      <c r="L117" s="11"/>
      <c r="M117" s="11"/>
      <c r="N117" s="11"/>
      <c r="O117" s="11"/>
      <c r="P117" s="11"/>
      <c r="Q117" s="11"/>
      <c r="R117" s="11"/>
      <c r="S117" s="11"/>
      <c r="T117" s="11"/>
      <c r="U117" s="12"/>
      <c r="V117" s="46"/>
    </row>
    <row r="118" spans="1:22">
      <c r="A118" s="46"/>
      <c r="B118" s="116"/>
      <c r="C118" s="40" t="s">
        <v>325</v>
      </c>
      <c r="D118" s="66"/>
      <c r="E118" s="109"/>
      <c r="F118" s="11"/>
      <c r="G118" s="11"/>
      <c r="H118" s="11"/>
      <c r="I118" s="11"/>
      <c r="J118" s="11"/>
      <c r="K118" s="11"/>
      <c r="L118" s="11"/>
      <c r="M118" s="11"/>
      <c r="N118" s="11"/>
      <c r="O118" s="11"/>
      <c r="P118" s="11"/>
      <c r="Q118" s="11"/>
      <c r="R118" s="11"/>
      <c r="S118" s="11"/>
      <c r="T118" s="11"/>
      <c r="U118" s="12"/>
      <c r="V118" s="46"/>
    </row>
    <row r="119" spans="1:22" ht="16.5">
      <c r="A119" s="46"/>
      <c r="B119" s="116" t="s">
        <v>314</v>
      </c>
      <c r="C119" s="160"/>
      <c r="D119" s="66"/>
      <c r="E119" s="109"/>
      <c r="F119" s="11"/>
      <c r="G119" s="11"/>
      <c r="H119" s="11"/>
      <c r="I119" s="11"/>
      <c r="J119" s="11"/>
      <c r="K119" s="11"/>
      <c r="L119" s="11"/>
      <c r="M119" s="11"/>
      <c r="N119" s="11"/>
      <c r="O119" s="11"/>
      <c r="P119" s="112" t="s">
        <v>315</v>
      </c>
      <c r="Q119" s="147">
        <f>PERCENTILE('Passby Data Set 2'!D24:D108,0.1)</f>
        <v>76.36</v>
      </c>
      <c r="R119" s="112" t="s">
        <v>28</v>
      </c>
      <c r="S119" s="11"/>
      <c r="T119" s="11"/>
      <c r="U119" s="12"/>
      <c r="V119" s="46"/>
    </row>
    <row r="120" spans="1:22" ht="16.5">
      <c r="A120" s="46"/>
      <c r="B120" s="116" t="s">
        <v>316</v>
      </c>
      <c r="C120" s="160"/>
      <c r="D120" s="66"/>
      <c r="E120" s="109"/>
      <c r="F120" s="11"/>
      <c r="G120" s="11"/>
      <c r="H120" s="11"/>
      <c r="I120" s="11"/>
      <c r="J120" s="11"/>
      <c r="K120" s="11"/>
      <c r="L120" s="11"/>
      <c r="M120" s="11"/>
      <c r="N120" s="11"/>
      <c r="O120" s="11"/>
      <c r="P120" s="112" t="s">
        <v>317</v>
      </c>
      <c r="Q120" s="147">
        <f>PERCENTILE('Passby Data Set 2'!D24:D108,0.5)</f>
        <v>97.3</v>
      </c>
      <c r="R120" s="112" t="s">
        <v>28</v>
      </c>
      <c r="S120" s="11"/>
      <c r="T120" s="11"/>
      <c r="U120" s="12"/>
      <c r="V120" s="46"/>
    </row>
    <row r="121" spans="1:22" ht="16.5">
      <c r="A121" s="46"/>
      <c r="B121" s="119" t="s">
        <v>318</v>
      </c>
      <c r="C121" s="170"/>
      <c r="D121" s="137"/>
      <c r="E121" s="171"/>
      <c r="F121" s="18"/>
      <c r="G121" s="18"/>
      <c r="H121" s="18"/>
      <c r="I121" s="18"/>
      <c r="J121" s="18"/>
      <c r="K121" s="18"/>
      <c r="L121" s="18"/>
      <c r="M121" s="18"/>
      <c r="N121" s="18"/>
      <c r="O121" s="18"/>
      <c r="P121" s="148" t="s">
        <v>319</v>
      </c>
      <c r="Q121" s="149">
        <f>PERCENTILE('Passby Data Set 2'!D24:D108,0.9)</f>
        <v>100.46000000000001</v>
      </c>
      <c r="R121" s="148" t="s">
        <v>28</v>
      </c>
      <c r="S121" s="18"/>
      <c r="T121" s="18"/>
      <c r="U121" s="19"/>
      <c r="V121" s="46"/>
    </row>
    <row r="122" spans="1:22">
      <c r="A122" s="46"/>
      <c r="B122" s="76"/>
      <c r="C122" s="160"/>
      <c r="D122" s="66"/>
      <c r="E122" s="109"/>
      <c r="F122" s="11"/>
      <c r="G122" s="11"/>
      <c r="H122" s="11"/>
      <c r="I122" s="11"/>
      <c r="J122" s="11"/>
      <c r="K122" s="11"/>
      <c r="L122" s="11"/>
      <c r="M122" s="11"/>
      <c r="N122" s="11"/>
      <c r="O122" s="46"/>
      <c r="P122" s="168"/>
      <c r="Q122" s="169"/>
      <c r="R122" s="168"/>
      <c r="S122" s="46"/>
      <c r="T122" s="46"/>
      <c r="U122" s="46"/>
      <c r="V122" s="46"/>
    </row>
    <row r="123" spans="1:22">
      <c r="A123" s="46"/>
      <c r="B123" s="132" t="s">
        <v>345</v>
      </c>
      <c r="C123" s="181"/>
      <c r="D123" s="133"/>
      <c r="E123" s="182"/>
      <c r="F123" s="8"/>
      <c r="G123" s="8"/>
      <c r="H123" s="8"/>
      <c r="I123" s="8"/>
      <c r="J123" s="8"/>
      <c r="K123" s="8"/>
      <c r="L123" s="8"/>
      <c r="M123" s="8"/>
      <c r="N123" s="8"/>
      <c r="O123" s="8"/>
      <c r="P123" s="47"/>
      <c r="Q123" s="183"/>
      <c r="R123" s="47"/>
      <c r="S123" s="8"/>
      <c r="T123" s="8"/>
      <c r="U123" s="9"/>
      <c r="V123" s="46"/>
    </row>
    <row r="124" spans="1:22" ht="16.5">
      <c r="A124" s="46"/>
      <c r="B124" s="116" t="s">
        <v>346</v>
      </c>
      <c r="C124" s="160"/>
      <c r="D124" s="66"/>
      <c r="E124" s="109"/>
      <c r="F124" s="11"/>
      <c r="G124" s="11"/>
      <c r="H124" s="11"/>
      <c r="I124" s="15">
        <f>D13</f>
        <v>296</v>
      </c>
      <c r="J124" s="11" t="s">
        <v>19</v>
      </c>
      <c r="K124" s="11" t="s">
        <v>357</v>
      </c>
      <c r="L124" s="11"/>
      <c r="M124" s="11"/>
      <c r="N124" s="11"/>
      <c r="O124" s="11"/>
      <c r="P124" s="112"/>
      <c r="Q124" s="147"/>
      <c r="R124" s="112"/>
      <c r="S124" s="11"/>
      <c r="T124" s="11"/>
      <c r="U124" s="12"/>
      <c r="V124" s="46"/>
    </row>
    <row r="125" spans="1:22">
      <c r="A125" s="46"/>
      <c r="B125" s="116"/>
      <c r="C125" s="177"/>
      <c r="D125" s="66"/>
      <c r="E125" s="109"/>
      <c r="F125" s="11"/>
      <c r="G125" s="11"/>
      <c r="H125" s="11"/>
      <c r="I125" s="11"/>
      <c r="J125" s="11"/>
      <c r="K125" s="11"/>
      <c r="L125" s="11"/>
      <c r="M125" s="11"/>
      <c r="N125" s="11"/>
      <c r="O125" s="11"/>
      <c r="P125" s="112"/>
      <c r="Q125" s="147"/>
      <c r="R125" s="112"/>
      <c r="S125" s="11"/>
      <c r="T125" s="11"/>
      <c r="U125" s="12"/>
      <c r="V125" s="46"/>
    </row>
    <row r="126" spans="1:22" ht="25" customHeight="1">
      <c r="A126" s="46"/>
      <c r="B126" s="116"/>
      <c r="C126" s="160"/>
      <c r="D126" s="379" t="s">
        <v>40</v>
      </c>
      <c r="E126" s="623" t="s">
        <v>349</v>
      </c>
      <c r="F126" s="501"/>
      <c r="G126" s="454"/>
      <c r="H126" s="455"/>
      <c r="I126" s="455"/>
      <c r="J126" s="455"/>
      <c r="K126" s="455"/>
      <c r="L126" s="455"/>
      <c r="M126" s="455"/>
      <c r="N126" s="457"/>
      <c r="O126" s="11"/>
      <c r="P126" s="544" t="s">
        <v>404</v>
      </c>
      <c r="Q126" s="513"/>
      <c r="R126" s="513"/>
      <c r="S126" s="514"/>
      <c r="T126" s="11"/>
      <c r="U126" s="12"/>
      <c r="V126" s="46"/>
    </row>
    <row r="127" spans="1:22" ht="16.5">
      <c r="A127" s="46"/>
      <c r="B127" s="116"/>
      <c r="C127" s="160"/>
      <c r="D127" s="408"/>
      <c r="E127" s="492" t="s">
        <v>350</v>
      </c>
      <c r="F127" s="351" t="s">
        <v>713</v>
      </c>
      <c r="G127" s="259" t="s">
        <v>351</v>
      </c>
      <c r="H127" s="461" t="s">
        <v>352</v>
      </c>
      <c r="I127" s="461" t="s">
        <v>353</v>
      </c>
      <c r="J127" s="461" t="s">
        <v>347</v>
      </c>
      <c r="K127" s="461" t="s">
        <v>348</v>
      </c>
      <c r="L127" s="461" t="s">
        <v>354</v>
      </c>
      <c r="M127" s="461" t="s">
        <v>355</v>
      </c>
      <c r="N127" s="259" t="s">
        <v>356</v>
      </c>
      <c r="O127" s="11"/>
      <c r="P127" s="592" t="s">
        <v>399</v>
      </c>
      <c r="Q127" s="495" t="s">
        <v>400</v>
      </c>
      <c r="R127" s="495" t="s">
        <v>401</v>
      </c>
      <c r="S127" s="495" t="s">
        <v>402</v>
      </c>
      <c r="T127" s="11"/>
      <c r="U127" s="12"/>
      <c r="V127" s="46"/>
    </row>
    <row r="128" spans="1:22">
      <c r="A128" s="46"/>
      <c r="B128" s="116"/>
      <c r="C128" s="160"/>
      <c r="D128" s="231">
        <v>1</v>
      </c>
      <c r="E128" s="179">
        <f>G65</f>
        <v>97.932179485115469</v>
      </c>
      <c r="F128" s="180">
        <f>D89</f>
        <v>102</v>
      </c>
      <c r="G128" s="180">
        <f>L95</f>
        <v>99.663228156470112</v>
      </c>
      <c r="H128" s="180">
        <f>L97</f>
        <v>101.09945485205508</v>
      </c>
      <c r="I128" s="180">
        <f>G107</f>
        <v>95.786088814784392</v>
      </c>
      <c r="J128" s="180">
        <f>M111</f>
        <v>98.539228105749828</v>
      </c>
      <c r="K128" s="180">
        <f>J113</f>
        <v>108.81731109118292</v>
      </c>
      <c r="L128" s="180">
        <f>Q119</f>
        <v>76.36</v>
      </c>
      <c r="M128" s="180">
        <f>Q120</f>
        <v>97.3</v>
      </c>
      <c r="N128" s="180">
        <f>Q121</f>
        <v>100.46000000000001</v>
      </c>
      <c r="O128" s="11"/>
      <c r="P128" s="625"/>
      <c r="Q128" s="471"/>
      <c r="R128" s="471"/>
      <c r="S128" s="471"/>
      <c r="T128" s="11"/>
      <c r="U128" s="12"/>
      <c r="V128" s="46"/>
    </row>
    <row r="129" spans="1:22">
      <c r="A129" s="46"/>
      <c r="B129" s="116"/>
      <c r="C129" s="160"/>
      <c r="D129" s="175">
        <v>2</v>
      </c>
      <c r="E129" s="179">
        <f>E128*$R$129</f>
        <v>100.66419307590195</v>
      </c>
      <c r="F129" s="179">
        <f t="shared" ref="F129:N129" si="4">F128*$R$129</f>
        <v>104.84549356223177</v>
      </c>
      <c r="G129" s="179">
        <f t="shared" si="4"/>
        <v>102.44353280461198</v>
      </c>
      <c r="H129" s="179">
        <f t="shared" si="4"/>
        <v>103.91982591015962</v>
      </c>
      <c r="I129" s="179">
        <f t="shared" si="4"/>
        <v>98.458232923351346</v>
      </c>
      <c r="J129" s="179">
        <f t="shared" si="4"/>
        <v>101.28817652930078</v>
      </c>
      <c r="K129" s="179">
        <f t="shared" si="4"/>
        <v>111.85298715166655</v>
      </c>
      <c r="L129" s="179">
        <f t="shared" si="4"/>
        <v>78.490214592274683</v>
      </c>
      <c r="M129" s="179">
        <f t="shared" si="4"/>
        <v>100.01437768240343</v>
      </c>
      <c r="N129" s="179">
        <f t="shared" si="4"/>
        <v>103.26253218884121</v>
      </c>
      <c r="O129" s="11"/>
      <c r="P129" s="218">
        <v>271</v>
      </c>
      <c r="Q129" s="219">
        <f t="shared" ref="Q129:S131" si="5">R82/$R$82</f>
        <v>1</v>
      </c>
      <c r="R129" s="219">
        <f t="shared" si="5"/>
        <v>1.0278969957081545</v>
      </c>
      <c r="S129" s="219">
        <f t="shared" si="5"/>
        <v>0.87982832618025753</v>
      </c>
      <c r="T129" s="11"/>
      <c r="U129" s="12"/>
      <c r="V129" s="46"/>
    </row>
    <row r="130" spans="1:22">
      <c r="A130" s="46"/>
      <c r="B130" s="116"/>
      <c r="C130" s="160"/>
      <c r="D130" s="175">
        <v>3</v>
      </c>
      <c r="E130" s="179">
        <f>E128*$S$129</f>
        <v>86.163505555573693</v>
      </c>
      <c r="F130" s="179">
        <f t="shared" ref="F130:N130" si="6">F128*$S$129</f>
        <v>89.742489270386272</v>
      </c>
      <c r="G130" s="179">
        <f t="shared" si="6"/>
        <v>87.686531210628218</v>
      </c>
      <c r="H130" s="179">
        <f t="shared" si="6"/>
        <v>88.950164140220139</v>
      </c>
      <c r="I130" s="179">
        <f t="shared" si="6"/>
        <v>84.275314193265245</v>
      </c>
      <c r="J130" s="179">
        <f t="shared" si="6"/>
        <v>86.697604127376465</v>
      </c>
      <c r="K130" s="179">
        <f t="shared" si="6"/>
        <v>95.740552676791836</v>
      </c>
      <c r="L130" s="179">
        <f t="shared" si="6"/>
        <v>67.183690987124464</v>
      </c>
      <c r="M130" s="179">
        <f t="shared" si="6"/>
        <v>85.607296137339048</v>
      </c>
      <c r="N130" s="179">
        <f t="shared" si="6"/>
        <v>88.387553648068675</v>
      </c>
      <c r="O130" s="11"/>
      <c r="P130" s="217">
        <v>341</v>
      </c>
      <c r="Q130" s="219">
        <f t="shared" si="5"/>
        <v>1.0354077253218883</v>
      </c>
      <c r="R130" s="219">
        <f t="shared" si="5"/>
        <v>1.0515021459227467</v>
      </c>
      <c r="S130" s="219">
        <f t="shared" si="5"/>
        <v>0.91738197424892698</v>
      </c>
      <c r="T130" s="11"/>
      <c r="U130" s="12"/>
      <c r="V130" s="46"/>
    </row>
    <row r="131" spans="1:22">
      <c r="A131" s="46"/>
      <c r="B131" s="116"/>
      <c r="C131" s="160"/>
      <c r="D131" s="175">
        <v>4</v>
      </c>
      <c r="E131" s="179">
        <f>E130-10*LOG10(30/25)</f>
        <v>85.371693095097442</v>
      </c>
      <c r="F131" s="179">
        <f t="shared" ref="F131:N131" si="7">F130-10*LOG10(30/25)</f>
        <v>88.950676809910021</v>
      </c>
      <c r="G131" s="179">
        <f t="shared" si="7"/>
        <v>86.894718750151966</v>
      </c>
      <c r="H131" s="179">
        <f t="shared" si="7"/>
        <v>88.158351679743888</v>
      </c>
      <c r="I131" s="179">
        <f t="shared" si="7"/>
        <v>83.483501732788994</v>
      </c>
      <c r="J131" s="179">
        <f t="shared" si="7"/>
        <v>85.905791666900214</v>
      </c>
      <c r="K131" s="179">
        <f t="shared" si="7"/>
        <v>94.948740216315585</v>
      </c>
      <c r="L131" s="179">
        <f t="shared" si="7"/>
        <v>66.391878526648213</v>
      </c>
      <c r="M131" s="179">
        <f t="shared" si="7"/>
        <v>84.815483676862797</v>
      </c>
      <c r="N131" s="179">
        <f t="shared" si="7"/>
        <v>87.595741187592424</v>
      </c>
      <c r="O131" s="11"/>
      <c r="P131" s="217">
        <v>386</v>
      </c>
      <c r="Q131" s="219">
        <f t="shared" si="5"/>
        <v>1.0568669527896994</v>
      </c>
      <c r="R131" s="219">
        <f t="shared" si="5"/>
        <v>1.0740343347639485</v>
      </c>
      <c r="S131" s="219">
        <f t="shared" si="5"/>
        <v>0.94527896995708149</v>
      </c>
      <c r="T131" s="11"/>
      <c r="U131" s="12"/>
      <c r="V131" s="46"/>
    </row>
    <row r="132" spans="1:22">
      <c r="A132" s="46"/>
      <c r="B132" s="119"/>
      <c r="C132" s="170"/>
      <c r="D132" s="137"/>
      <c r="E132" s="171"/>
      <c r="F132" s="18"/>
      <c r="G132" s="18"/>
      <c r="H132" s="18"/>
      <c r="I132" s="18"/>
      <c r="J132" s="18"/>
      <c r="K132" s="18"/>
      <c r="L132" s="18"/>
      <c r="M132" s="18"/>
      <c r="N132" s="18"/>
      <c r="O132" s="18"/>
      <c r="P132" s="148"/>
      <c r="Q132" s="149"/>
      <c r="R132" s="148"/>
      <c r="S132" s="18"/>
      <c r="T132" s="18"/>
      <c r="U132" s="19"/>
      <c r="V132" s="46"/>
    </row>
    <row r="133" spans="1:22">
      <c r="A133" s="46"/>
      <c r="B133" s="76"/>
      <c r="C133" s="160"/>
      <c r="D133" s="66"/>
      <c r="E133" s="109"/>
      <c r="F133" s="11"/>
      <c r="G133" s="11"/>
      <c r="H133" s="11"/>
      <c r="I133" s="11"/>
      <c r="J133" s="11"/>
      <c r="K133" s="11"/>
      <c r="L133" s="11"/>
      <c r="M133" s="11"/>
      <c r="N133" s="11"/>
      <c r="O133" s="46"/>
      <c r="P133" s="168"/>
      <c r="Q133" s="169"/>
      <c r="R133" s="168"/>
      <c r="S133" s="46"/>
      <c r="T133" s="46"/>
      <c r="U133" s="46"/>
      <c r="V133" s="46"/>
    </row>
    <row r="134" spans="1:22">
      <c r="A134" s="46"/>
      <c r="B134" s="132" t="s">
        <v>320</v>
      </c>
      <c r="C134" s="181"/>
      <c r="D134" s="133"/>
      <c r="E134" s="182"/>
      <c r="F134" s="8"/>
      <c r="G134" s="8"/>
      <c r="H134" s="8"/>
      <c r="I134" s="8"/>
      <c r="J134" s="8"/>
      <c r="K134" s="8"/>
      <c r="L134" s="8"/>
      <c r="M134" s="8"/>
      <c r="N134" s="8"/>
      <c r="O134" s="8"/>
      <c r="P134" s="8"/>
      <c r="Q134" s="8"/>
      <c r="R134" s="8"/>
      <c r="S134" s="8"/>
      <c r="T134" s="8"/>
      <c r="U134" s="9"/>
      <c r="V134" s="46"/>
    </row>
    <row r="135" spans="1:22" ht="16.5">
      <c r="A135" s="46"/>
      <c r="B135" s="116" t="s">
        <v>324</v>
      </c>
      <c r="C135" s="160"/>
      <c r="D135" s="66"/>
      <c r="E135" s="109"/>
      <c r="F135" s="11"/>
      <c r="G135" s="11"/>
      <c r="H135" s="11"/>
      <c r="I135" s="11"/>
      <c r="J135" s="11"/>
      <c r="K135" s="11"/>
      <c r="L135" s="11"/>
      <c r="M135" s="11"/>
      <c r="N135" s="11"/>
      <c r="O135" s="11"/>
      <c r="P135" s="11"/>
      <c r="Q135" s="11"/>
      <c r="R135" s="11"/>
      <c r="S135" s="11"/>
      <c r="T135" s="11"/>
      <c r="U135" s="12"/>
      <c r="V135" s="46"/>
    </row>
    <row r="136" spans="1:22" ht="16.5">
      <c r="A136" s="46"/>
      <c r="B136" s="145"/>
      <c r="C136" s="11" t="s">
        <v>326</v>
      </c>
      <c r="D136" s="66"/>
      <c r="E136" s="109"/>
      <c r="F136" s="11"/>
      <c r="G136" s="11"/>
      <c r="H136" s="11" t="s">
        <v>329</v>
      </c>
      <c r="I136" s="11" t="s">
        <v>330</v>
      </c>
      <c r="J136" s="11" t="s">
        <v>331</v>
      </c>
      <c r="K136" s="11"/>
      <c r="L136" s="11"/>
      <c r="M136" s="11" t="s">
        <v>334</v>
      </c>
      <c r="N136" s="11"/>
      <c r="O136" s="11"/>
      <c r="P136" s="11"/>
      <c r="Q136" s="11"/>
      <c r="R136" s="11"/>
      <c r="S136" s="11"/>
      <c r="T136" s="11"/>
      <c r="U136" s="12"/>
      <c r="V136" s="46"/>
    </row>
    <row r="137" spans="1:22" ht="16.5">
      <c r="A137" s="46"/>
      <c r="B137" s="187" t="s">
        <v>327</v>
      </c>
      <c r="C137" s="11" t="s">
        <v>328</v>
      </c>
      <c r="D137" s="66"/>
      <c r="E137" s="109"/>
      <c r="F137" s="11"/>
      <c r="G137" s="11"/>
      <c r="H137" s="11"/>
      <c r="I137" s="11" t="s">
        <v>332</v>
      </c>
      <c r="J137" s="11" t="s">
        <v>333</v>
      </c>
      <c r="K137" s="11"/>
      <c r="L137" s="11"/>
      <c r="M137" s="11"/>
      <c r="N137" s="11"/>
      <c r="O137" s="11"/>
      <c r="P137" s="11"/>
      <c r="Q137" s="11"/>
      <c r="R137" s="11"/>
      <c r="S137" s="11"/>
      <c r="T137" s="11"/>
      <c r="U137" s="12"/>
      <c r="V137" s="46"/>
    </row>
    <row r="138" spans="1:22">
      <c r="A138" s="46"/>
      <c r="B138" s="116" t="s">
        <v>335</v>
      </c>
      <c r="C138" s="160"/>
      <c r="D138" s="66"/>
      <c r="E138" s="109"/>
      <c r="F138" s="11"/>
      <c r="G138" s="11"/>
      <c r="H138" s="11"/>
      <c r="I138" s="11"/>
      <c r="J138" s="11"/>
      <c r="K138" s="11"/>
      <c r="L138" s="11"/>
      <c r="M138" s="11"/>
      <c r="N138" s="11"/>
      <c r="O138" s="11"/>
      <c r="P138" s="11" t="s">
        <v>336</v>
      </c>
      <c r="Q138" s="11"/>
      <c r="R138" s="11"/>
      <c r="S138" s="11"/>
      <c r="T138" s="11"/>
      <c r="U138" s="12"/>
      <c r="V138" s="46"/>
    </row>
    <row r="139" spans="1:22">
      <c r="A139" s="46"/>
      <c r="B139" s="116" t="s">
        <v>337</v>
      </c>
      <c r="C139" s="160"/>
      <c r="D139" s="66"/>
      <c r="E139" s="109"/>
      <c r="F139" s="11"/>
      <c r="G139" s="11"/>
      <c r="H139" s="11"/>
      <c r="I139" s="11"/>
      <c r="J139" s="11"/>
      <c r="K139" s="11"/>
      <c r="L139" s="11"/>
      <c r="M139" s="11"/>
      <c r="N139" s="11"/>
      <c r="O139" s="11"/>
      <c r="P139" s="11"/>
      <c r="Q139" s="11"/>
      <c r="R139" s="11"/>
      <c r="S139" s="11"/>
      <c r="T139" s="11"/>
      <c r="U139" s="12"/>
      <c r="V139" s="46"/>
    </row>
    <row r="140" spans="1:22" ht="16.5">
      <c r="A140" s="46"/>
      <c r="B140" s="116"/>
      <c r="C140" s="172" t="s">
        <v>339</v>
      </c>
      <c r="D140" s="66"/>
      <c r="E140" s="109"/>
      <c r="F140" s="15" t="s">
        <v>340</v>
      </c>
      <c r="G140" s="173">
        <v>6.25E-2</v>
      </c>
      <c r="H140" s="15" t="s">
        <v>341</v>
      </c>
      <c r="I140" s="107">
        <v>25</v>
      </c>
      <c r="J140" s="11"/>
      <c r="K140" s="11" t="s">
        <v>899</v>
      </c>
      <c r="L140" s="11"/>
      <c r="M140" s="11"/>
      <c r="N140" s="11"/>
      <c r="O140" s="11"/>
      <c r="P140" s="11"/>
      <c r="Q140" s="11"/>
      <c r="R140" s="11"/>
      <c r="S140" s="11"/>
      <c r="T140" s="11"/>
      <c r="U140" s="12"/>
      <c r="V140" s="46"/>
    </row>
    <row r="141" spans="1:22" ht="16.5">
      <c r="A141" s="46"/>
      <c r="B141" s="116" t="s">
        <v>344</v>
      </c>
      <c r="C141" s="160"/>
      <c r="D141" s="66">
        <f>D13</f>
        <v>296</v>
      </c>
      <c r="E141" s="109" t="s">
        <v>19</v>
      </c>
      <c r="F141" s="11"/>
      <c r="G141" s="11"/>
      <c r="H141" s="11"/>
      <c r="I141" s="11"/>
      <c r="J141" s="11" t="s">
        <v>563</v>
      </c>
      <c r="K141" s="11"/>
      <c r="L141" s="11">
        <f>D146*LOG(C146/D141)</f>
        <v>-17.932180023154018</v>
      </c>
      <c r="M141" s="40" t="s">
        <v>564</v>
      </c>
      <c r="N141" s="11"/>
      <c r="O141" s="300">
        <f>-(E152-80)</f>
        <v>-17.932179485115469</v>
      </c>
      <c r="P141" s="11" t="s">
        <v>565</v>
      </c>
      <c r="Q141" s="11"/>
      <c r="R141" s="11"/>
      <c r="S141" s="11"/>
      <c r="T141" s="11"/>
      <c r="U141" s="12"/>
      <c r="V141" s="46"/>
    </row>
    <row r="142" spans="1:22">
      <c r="A142" s="46"/>
      <c r="B142" s="116" t="s">
        <v>358</v>
      </c>
      <c r="C142" s="160"/>
      <c r="D142" s="66"/>
      <c r="E142" s="109"/>
      <c r="F142" s="11"/>
      <c r="G142" s="11"/>
      <c r="H142" s="11"/>
      <c r="I142" s="11"/>
      <c r="J142" s="11"/>
      <c r="K142" s="11"/>
      <c r="L142" s="11"/>
      <c r="M142" s="11"/>
      <c r="N142" s="11"/>
      <c r="O142" s="11"/>
      <c r="P142" s="11"/>
      <c r="Q142" s="11"/>
      <c r="R142" s="11"/>
      <c r="S142" s="11"/>
      <c r="T142" s="11"/>
      <c r="U142" s="12"/>
      <c r="V142" s="46"/>
    </row>
    <row r="143" spans="1:22">
      <c r="A143" s="46"/>
      <c r="B143" s="142"/>
      <c r="C143" s="160"/>
      <c r="D143" s="66"/>
      <c r="E143" s="109"/>
      <c r="F143" s="11"/>
      <c r="G143" s="11"/>
      <c r="H143" s="11"/>
      <c r="I143" s="11"/>
      <c r="J143" s="11"/>
      <c r="K143" s="11"/>
      <c r="L143" s="11"/>
      <c r="M143" s="11"/>
      <c r="N143" s="11"/>
      <c r="O143" s="11"/>
      <c r="P143" s="11"/>
      <c r="Q143" s="11"/>
      <c r="R143" s="11"/>
      <c r="S143" s="11"/>
      <c r="T143" s="11"/>
      <c r="U143" s="12"/>
      <c r="V143" s="46"/>
    </row>
    <row r="144" spans="1:22" ht="14.5" customHeight="1">
      <c r="A144" s="46"/>
      <c r="B144" s="142"/>
      <c r="C144" s="552"/>
      <c r="D144" s="553"/>
      <c r="E144" s="556" t="s">
        <v>409</v>
      </c>
      <c r="F144" s="501"/>
      <c r="G144" s="501"/>
      <c r="H144" s="501"/>
      <c r="I144" s="501"/>
      <c r="J144" s="454"/>
      <c r="K144" s="455"/>
      <c r="L144" s="455"/>
      <c r="M144" s="455"/>
      <c r="N144" s="457"/>
      <c r="O144" s="11"/>
      <c r="P144" s="11"/>
      <c r="Q144" s="11"/>
      <c r="R144" s="11"/>
      <c r="S144" s="11"/>
      <c r="T144" s="11"/>
      <c r="U144" s="12"/>
      <c r="V144" s="46"/>
    </row>
    <row r="145" spans="1:22" ht="31.5" customHeight="1">
      <c r="A145" s="46"/>
      <c r="B145" s="142"/>
      <c r="C145" s="598" t="s">
        <v>266</v>
      </c>
      <c r="D145" s="469" t="s">
        <v>338</v>
      </c>
      <c r="E145" s="261" t="s">
        <v>350</v>
      </c>
      <c r="F145" s="351" t="s">
        <v>713</v>
      </c>
      <c r="G145" s="258" t="s">
        <v>351</v>
      </c>
      <c r="H145" s="258" t="s">
        <v>352</v>
      </c>
      <c r="I145" s="258" t="s">
        <v>353</v>
      </c>
      <c r="J145" s="258" t="s">
        <v>347</v>
      </c>
      <c r="K145" s="405" t="s">
        <v>348</v>
      </c>
      <c r="L145" s="405" t="s">
        <v>354</v>
      </c>
      <c r="M145" s="405" t="s">
        <v>355</v>
      </c>
      <c r="N145" s="258" t="s">
        <v>356</v>
      </c>
      <c r="O145" s="11"/>
      <c r="P145" s="11"/>
      <c r="Q145" s="11"/>
      <c r="R145" s="11"/>
      <c r="S145" s="11"/>
      <c r="T145" s="11"/>
      <c r="U145" s="12"/>
      <c r="V145" s="46"/>
    </row>
    <row r="146" spans="1:22">
      <c r="A146" s="46"/>
      <c r="B146" s="142"/>
      <c r="C146" s="174">
        <v>80</v>
      </c>
      <c r="D146" s="176">
        <f>(17.93218/17.0460517)*30</f>
        <v>31.559531172840455</v>
      </c>
      <c r="E146" s="377">
        <f>$D$146*LOG(C146/$D$141)+$E$152</f>
        <v>79.999999461961451</v>
      </c>
      <c r="F146" s="179">
        <f>$D$146*LOG(C146/$D$141)+$F$152</f>
        <v>84.067819976845982</v>
      </c>
      <c r="G146" s="179">
        <f>$D$146*LOG(C146/$D$141)+$G$152</f>
        <v>81.731048133316094</v>
      </c>
      <c r="H146" s="179">
        <f>$D$146*LOG(C146/$D$141)+$H$152</f>
        <v>83.167274828901057</v>
      </c>
      <c r="I146" s="179">
        <f>$D$146*LOG(C146/$D$141)+$I$152</f>
        <v>77.853908791630374</v>
      </c>
      <c r="J146" s="179">
        <f>$D$146*LOG(C146/$D$141)+$J$152</f>
        <v>80.60704808259581</v>
      </c>
      <c r="K146" s="179">
        <f>$D$146*LOG(C146/$D$141)+$K$152</f>
        <v>90.885131068028898</v>
      </c>
      <c r="L146" s="179">
        <f>$D$146*LOG(C146/$D$141)+$L$152</f>
        <v>58.427819976845981</v>
      </c>
      <c r="M146" s="179">
        <f>$D$146*LOG(C146/$D$141)+$M$152</f>
        <v>79.367819976845979</v>
      </c>
      <c r="N146" s="179">
        <f>$D$146*LOG(C146/$D$141)+$N$152</f>
        <v>82.52781997684599</v>
      </c>
      <c r="O146" s="11"/>
      <c r="P146" s="11"/>
      <c r="Q146" s="11"/>
      <c r="R146" s="11"/>
      <c r="S146" s="11"/>
      <c r="T146" s="11"/>
      <c r="U146" s="12"/>
      <c r="V146" s="46"/>
    </row>
    <row r="147" spans="1:22">
      <c r="A147" s="46"/>
      <c r="B147" s="142"/>
      <c r="C147" s="174">
        <v>150</v>
      </c>
      <c r="D147" s="176">
        <f t="shared" ref="D147:D152" si="8">$G$140*C147+$I$140</f>
        <v>34.375</v>
      </c>
      <c r="E147" s="377">
        <f>$D$147*LOG(C147/$D$141)+$E$152</f>
        <v>87.784663947503503</v>
      </c>
      <c r="F147" s="179">
        <f>$D$147*LOG(C147/$D$141)+$F$152</f>
        <v>91.852484462388034</v>
      </c>
      <c r="G147" s="179">
        <f>$D$147*LOG(C147/$D$141)+$G$152</f>
        <v>89.515712618858146</v>
      </c>
      <c r="H147" s="179">
        <f>$D$147*LOG(C147/$D$141)+$H$152</f>
        <v>90.951939314443109</v>
      </c>
      <c r="I147" s="179">
        <f>$D$147*LOG(C147/$D$141)+$I$152</f>
        <v>85.638573277172426</v>
      </c>
      <c r="J147" s="179">
        <f>$D$147*LOG(C147/$D$141)+$J$152</f>
        <v>88.391712568137862</v>
      </c>
      <c r="K147" s="179">
        <f>$D$147*LOG(C147/$D$141)+$K$152</f>
        <v>98.66979555357095</v>
      </c>
      <c r="L147" s="179">
        <f>$D$147*LOG(C147/$D$141)+$L$152</f>
        <v>66.212484462388034</v>
      </c>
      <c r="M147" s="179">
        <f>$D$147*LOG(C147/$D$141)+$M$152</f>
        <v>87.152484462388031</v>
      </c>
      <c r="N147" s="179">
        <f>$D$147*LOG(C147/$D$141)+$N$152</f>
        <v>90.312484462388042</v>
      </c>
      <c r="O147" s="11"/>
      <c r="P147" s="11"/>
      <c r="Q147" s="11"/>
      <c r="R147" s="11"/>
      <c r="S147" s="11"/>
      <c r="T147" s="11"/>
      <c r="U147" s="12"/>
      <c r="V147" s="46"/>
    </row>
    <row r="148" spans="1:22">
      <c r="A148" s="46"/>
      <c r="B148" s="142"/>
      <c r="C148" s="174">
        <v>200</v>
      </c>
      <c r="D148" s="176">
        <f t="shared" si="8"/>
        <v>37.5</v>
      </c>
      <c r="E148" s="377">
        <f>$D$148*LOG(C148/$D$141)+$E$152</f>
        <v>91.547365157804563</v>
      </c>
      <c r="F148" s="179">
        <f>$D$148*LOG(C148/$D$141)+$F$152</f>
        <v>95.615185672689094</v>
      </c>
      <c r="G148" s="179">
        <f>$D$148*LOG(C148/$D$141)+$G$152</f>
        <v>93.278413829159206</v>
      </c>
      <c r="H148" s="179">
        <f>$D$148*LOG(C148/$D$141)+$H$152</f>
        <v>94.714640524744169</v>
      </c>
      <c r="I148" s="179">
        <f>$D$148*LOG(C148/$D$141)+$I$152</f>
        <v>89.401274487473486</v>
      </c>
      <c r="J148" s="179">
        <f>$D$148*LOG(C148/$D$141)+$J$152</f>
        <v>92.154413778438922</v>
      </c>
      <c r="K148" s="179">
        <f>$D$148*LOG(C148/$D$141)+$K$152</f>
        <v>102.43249676387201</v>
      </c>
      <c r="L148" s="179">
        <f>$D$148*LOG(C148/$D$141)+$L$152</f>
        <v>69.975185672689094</v>
      </c>
      <c r="M148" s="179">
        <f>$D$148*LOG(C148/$D$141)+$M$152</f>
        <v>90.915185672689091</v>
      </c>
      <c r="N148" s="179">
        <f>$D$148*LOG(C148/$D$141)+$N$152</f>
        <v>94.075185672689102</v>
      </c>
      <c r="O148" s="11"/>
      <c r="P148" s="11"/>
      <c r="Q148" s="11"/>
      <c r="R148" s="11"/>
      <c r="S148" s="11"/>
      <c r="T148" s="11"/>
      <c r="U148" s="12"/>
      <c r="V148" s="46"/>
    </row>
    <row r="149" spans="1:22">
      <c r="A149" s="46"/>
      <c r="B149" s="142"/>
      <c r="C149" s="174">
        <v>250</v>
      </c>
      <c r="D149" s="176">
        <f t="shared" si="8"/>
        <v>40.625</v>
      </c>
      <c r="E149" s="377">
        <f>$D$149*LOG(C149/$D$141)+$E$152</f>
        <v>94.952266575647613</v>
      </c>
      <c r="F149" s="179">
        <f>$D$149*LOG(C149/$D$141)+$F$152</f>
        <v>99.020087090532144</v>
      </c>
      <c r="G149" s="179">
        <f>$D$149*LOG(C149/$D$141)+$G$152</f>
        <v>96.683315247002255</v>
      </c>
      <c r="H149" s="179">
        <f>$D$149*LOG(C149/$D$141)+$H$152</f>
        <v>98.119541942587219</v>
      </c>
      <c r="I149" s="179">
        <f>$D$149*LOG(C149/$D$141)+$I$152</f>
        <v>92.806175905316536</v>
      </c>
      <c r="J149" s="179">
        <f>$D$149*LOG(C149/$D$141)+$J$152</f>
        <v>95.559315196281972</v>
      </c>
      <c r="K149" s="179">
        <f>$D$149*LOG(C149/$D$141)+$K$152</f>
        <v>105.83739818171506</v>
      </c>
      <c r="L149" s="179">
        <f>$D$149*LOG(C149/$D$141)+$L$152</f>
        <v>73.380087090532143</v>
      </c>
      <c r="M149" s="179">
        <f>$D$149*LOG(C149/$D$141)+$M$152</f>
        <v>94.320087090532141</v>
      </c>
      <c r="N149" s="179">
        <f>$D$149*LOG(C149/$D$141)+$N$152</f>
        <v>97.480087090532152</v>
      </c>
      <c r="O149" s="11"/>
      <c r="P149" s="11"/>
      <c r="Q149" s="11"/>
      <c r="R149" s="11"/>
      <c r="S149" s="11"/>
      <c r="T149" s="11"/>
      <c r="U149" s="12"/>
      <c r="V149" s="46"/>
    </row>
    <row r="150" spans="1:22">
      <c r="A150" s="46"/>
      <c r="B150" s="142"/>
      <c r="C150" s="174">
        <v>300</v>
      </c>
      <c r="D150" s="176">
        <f t="shared" si="8"/>
        <v>43.75</v>
      </c>
      <c r="E150" s="179">
        <f>$D$150*LOG(C150/$D$141)+$E$152</f>
        <v>98.187222020272145</v>
      </c>
      <c r="F150" s="179">
        <f>$D$150*LOG(C150/$D$141)+$F$152</f>
        <v>102.25504253515668</v>
      </c>
      <c r="G150" s="179">
        <f>$D$150*LOG(C150/$D$141)+$G$152</f>
        <v>99.918270691626788</v>
      </c>
      <c r="H150" s="179">
        <f>$D$150*LOG(C150/$D$141)+$H$152</f>
        <v>101.35449738721175</v>
      </c>
      <c r="I150" s="179">
        <f>$D$150*LOG(C150/$D$141)+$I$152</f>
        <v>96.041131349941068</v>
      </c>
      <c r="J150" s="179">
        <f>$D$150*LOG(C150/$D$141)+$J$152</f>
        <v>98.794270640906504</v>
      </c>
      <c r="K150" s="179">
        <f>$D$150*LOG(C150/$D$141)+$K$152</f>
        <v>109.07235362633959</v>
      </c>
      <c r="L150" s="179">
        <f>$D$150*LOG(C150/$D$141)+$L$152</f>
        <v>76.615042535156675</v>
      </c>
      <c r="M150" s="179">
        <f>$D$150*LOG(C150/$D$141)+$M$152</f>
        <v>97.555042535156673</v>
      </c>
      <c r="N150" s="179">
        <f>$D$150*LOG(C150/$D$141)+$N$152</f>
        <v>100.71504253515668</v>
      </c>
      <c r="O150" s="11"/>
      <c r="P150" s="11"/>
      <c r="Q150" s="11"/>
      <c r="R150" s="11"/>
      <c r="S150" s="11"/>
      <c r="T150" s="11"/>
      <c r="U150" s="12"/>
      <c r="V150" s="46"/>
    </row>
    <row r="151" spans="1:22">
      <c r="A151" s="46"/>
      <c r="B151" s="142"/>
      <c r="C151" s="174">
        <v>350</v>
      </c>
      <c r="D151" s="176">
        <f t="shared" si="8"/>
        <v>46.875</v>
      </c>
      <c r="E151" s="179">
        <f>$D$151*LOG(C151/$D$141)+$E$152</f>
        <v>101.34357010814689</v>
      </c>
      <c r="F151" s="179">
        <f>$D$151*LOG(C151/$D$141)+$F$152</f>
        <v>105.41139062303142</v>
      </c>
      <c r="G151" s="179">
        <f>$D$151*LOG(C151/$D$141)+$G$152</f>
        <v>103.07461877950153</v>
      </c>
      <c r="H151" s="179">
        <f>$D$151*LOG(C151/$D$141)+$H$152</f>
        <v>104.5108454750865</v>
      </c>
      <c r="I151" s="179">
        <f>$D$151*LOG(C151/$D$141)+$I$152</f>
        <v>99.197479437815815</v>
      </c>
      <c r="J151" s="179">
        <f>$D$151*LOG(C151/$D$141)+$J$152</f>
        <v>101.95061872878125</v>
      </c>
      <c r="K151" s="179">
        <f>$D$151*LOG(C151/$D$141)+$K$152</f>
        <v>112.22870171421434</v>
      </c>
      <c r="L151" s="179">
        <f>$D$151*LOG(C151/$D$141)+$L$152</f>
        <v>79.771390623031422</v>
      </c>
      <c r="M151" s="179">
        <f>$D$151*LOG(C151/$D$141)+$M$152</f>
        <v>100.71139062303142</v>
      </c>
      <c r="N151" s="179">
        <f>$D$151*LOG(C151/$D$141)+$N$152</f>
        <v>103.87139062303143</v>
      </c>
      <c r="O151" s="11"/>
      <c r="P151" s="11"/>
      <c r="Q151" s="11"/>
      <c r="R151" s="11"/>
      <c r="S151" s="11"/>
      <c r="T151" s="11"/>
      <c r="U151" s="12"/>
      <c r="V151" s="46"/>
    </row>
    <row r="152" spans="1:22">
      <c r="A152" s="46"/>
      <c r="B152" s="155" t="s">
        <v>385</v>
      </c>
      <c r="C152" s="174">
        <v>296</v>
      </c>
      <c r="D152" s="176">
        <f t="shared" si="8"/>
        <v>43.5</v>
      </c>
      <c r="E152" s="179">
        <f>E128</f>
        <v>97.932179485115469</v>
      </c>
      <c r="F152" s="179">
        <f t="shared" ref="F152:N152" si="9">F128</f>
        <v>102</v>
      </c>
      <c r="G152" s="179">
        <f t="shared" si="9"/>
        <v>99.663228156470112</v>
      </c>
      <c r="H152" s="179">
        <f t="shared" si="9"/>
        <v>101.09945485205508</v>
      </c>
      <c r="I152" s="179">
        <f t="shared" si="9"/>
        <v>95.786088814784392</v>
      </c>
      <c r="J152" s="179">
        <f t="shared" si="9"/>
        <v>98.539228105749828</v>
      </c>
      <c r="K152" s="179">
        <f t="shared" si="9"/>
        <v>108.81731109118292</v>
      </c>
      <c r="L152" s="179">
        <f t="shared" si="9"/>
        <v>76.36</v>
      </c>
      <c r="M152" s="179">
        <f t="shared" si="9"/>
        <v>97.3</v>
      </c>
      <c r="N152" s="179">
        <f t="shared" si="9"/>
        <v>100.46000000000001</v>
      </c>
      <c r="O152" s="11"/>
      <c r="P152" s="11"/>
      <c r="Q152" s="11"/>
      <c r="R152" s="11"/>
      <c r="S152" s="11"/>
      <c r="T152" s="11"/>
      <c r="U152" s="12"/>
      <c r="V152" s="46"/>
    </row>
    <row r="153" spans="1:22">
      <c r="A153" s="46"/>
      <c r="B153" s="155"/>
      <c r="C153" s="117"/>
      <c r="D153" s="184"/>
      <c r="E153" s="185"/>
      <c r="F153" s="185"/>
      <c r="G153" s="185"/>
      <c r="H153" s="185"/>
      <c r="I153" s="185"/>
      <c r="J153" s="185"/>
      <c r="K153" s="185"/>
      <c r="L153" s="185"/>
      <c r="M153" s="185"/>
      <c r="N153" s="185"/>
      <c r="O153" s="11"/>
      <c r="P153" s="11"/>
      <c r="Q153" s="11"/>
      <c r="R153" s="11"/>
      <c r="S153" s="11"/>
      <c r="T153" s="11"/>
      <c r="U153" s="12"/>
      <c r="V153" s="46"/>
    </row>
    <row r="154" spans="1:22" ht="14.5" customHeight="1">
      <c r="A154" s="46"/>
      <c r="B154" s="142"/>
      <c r="C154" s="552"/>
      <c r="D154" s="553"/>
      <c r="E154" s="556" t="s">
        <v>411</v>
      </c>
      <c r="F154" s="501"/>
      <c r="G154" s="501"/>
      <c r="H154" s="501"/>
      <c r="I154" s="501"/>
      <c r="J154" s="454"/>
      <c r="K154" s="455"/>
      <c r="L154" s="455"/>
      <c r="M154" s="455"/>
      <c r="N154" s="457"/>
      <c r="O154" s="11"/>
      <c r="P154" s="11"/>
      <c r="Q154" s="11"/>
      <c r="R154" s="11"/>
      <c r="S154" s="11"/>
      <c r="T154" s="11"/>
      <c r="U154" s="12"/>
      <c r="V154" s="46"/>
    </row>
    <row r="155" spans="1:22" ht="28.5" customHeight="1">
      <c r="A155" s="46"/>
      <c r="B155" s="142"/>
      <c r="C155" s="598" t="s">
        <v>266</v>
      </c>
      <c r="D155" s="469" t="s">
        <v>338</v>
      </c>
      <c r="E155" s="261" t="s">
        <v>350</v>
      </c>
      <c r="F155" s="351" t="s">
        <v>713</v>
      </c>
      <c r="G155" s="258" t="s">
        <v>351</v>
      </c>
      <c r="H155" s="258" t="s">
        <v>352</v>
      </c>
      <c r="I155" s="258" t="s">
        <v>353</v>
      </c>
      <c r="J155" s="258" t="s">
        <v>347</v>
      </c>
      <c r="K155" s="405" t="s">
        <v>348</v>
      </c>
      <c r="L155" s="405" t="s">
        <v>354</v>
      </c>
      <c r="M155" s="405" t="s">
        <v>355</v>
      </c>
      <c r="N155" s="258" t="s">
        <v>356</v>
      </c>
      <c r="O155" s="11"/>
      <c r="P155" s="11"/>
      <c r="Q155" s="11"/>
      <c r="R155" s="11"/>
      <c r="S155" s="11"/>
      <c r="T155" s="11"/>
      <c r="U155" s="12"/>
      <c r="V155" s="46"/>
    </row>
    <row r="156" spans="1:22">
      <c r="A156" s="46"/>
      <c r="B156" s="142"/>
      <c r="C156" s="174">
        <v>80</v>
      </c>
      <c r="D156" s="176">
        <f>D146</f>
        <v>31.559531172840455</v>
      </c>
      <c r="E156" s="179">
        <f>$D$156*LOG($C$156/$D$141)+$E$162</f>
        <v>82.732013052747931</v>
      </c>
      <c r="F156" s="179">
        <f>$D$156*LOG($C$156/$D$141)+$F$162</f>
        <v>86.913313539077748</v>
      </c>
      <c r="G156" s="179">
        <f>$D$156*LOG($C$156/$D$141)+$G$162</f>
        <v>84.511352781457958</v>
      </c>
      <c r="H156" s="179">
        <f>$D$156*LOG($C$156/$D$141)+$H$162</f>
        <v>85.987645887005598</v>
      </c>
      <c r="I156" s="179">
        <f>$D$156*LOG($C$156/$D$141)+$I$162</f>
        <v>80.526052900197328</v>
      </c>
      <c r="J156" s="179">
        <f>$D$156*LOG($C$156/$D$141)+$J$162</f>
        <v>83.355996506146766</v>
      </c>
      <c r="K156" s="179">
        <f>$D$156*LOG($C$156/$D$141)+$K$162</f>
        <v>93.920807128512536</v>
      </c>
      <c r="L156" s="179">
        <f>$D$156*LOG($C$156/$D$141)+$L$162</f>
        <v>60.558034569120665</v>
      </c>
      <c r="M156" s="179">
        <f>$D$156*LOG($C$156/$D$141)+$M$162</f>
        <v>82.082197659249417</v>
      </c>
      <c r="N156" s="179">
        <f>$D$156*LOG($C$156/$D$141)+$N$162</f>
        <v>85.330352165687188</v>
      </c>
      <c r="O156" s="11"/>
      <c r="P156" s="11"/>
      <c r="Q156" s="11"/>
      <c r="R156" s="11"/>
      <c r="S156" s="11"/>
      <c r="T156" s="11"/>
      <c r="U156" s="12"/>
      <c r="V156" s="46"/>
    </row>
    <row r="157" spans="1:22">
      <c r="A157" s="46"/>
      <c r="B157" s="142"/>
      <c r="C157" s="174">
        <v>150</v>
      </c>
      <c r="D157" s="176">
        <f t="shared" ref="D157:D162" si="10">$G$140*C157+$I$140</f>
        <v>34.375</v>
      </c>
      <c r="E157" s="179">
        <f>$D$157*LOG($C$157/$D$141)+E162</f>
        <v>90.516677538289983</v>
      </c>
      <c r="F157" s="179">
        <f t="shared" ref="F157:N157" si="11">$D$157*LOG($C$157/$D$141)+F162</f>
        <v>94.6979780246198</v>
      </c>
      <c r="G157" s="179">
        <f t="shared" si="11"/>
        <v>92.296017267000011</v>
      </c>
      <c r="H157" s="179">
        <f t="shared" si="11"/>
        <v>93.772310372547651</v>
      </c>
      <c r="I157" s="179">
        <f t="shared" si="11"/>
        <v>88.31071738573938</v>
      </c>
      <c r="J157" s="179">
        <f t="shared" si="11"/>
        <v>91.140660991688819</v>
      </c>
      <c r="K157" s="179">
        <f t="shared" si="11"/>
        <v>101.70547161405459</v>
      </c>
      <c r="L157" s="179">
        <f t="shared" si="11"/>
        <v>68.342699054662717</v>
      </c>
      <c r="M157" s="179">
        <f t="shared" si="11"/>
        <v>89.866862144791469</v>
      </c>
      <c r="N157" s="179">
        <f t="shared" si="11"/>
        <v>93.11501665122924</v>
      </c>
      <c r="O157" s="11"/>
      <c r="P157" s="11"/>
      <c r="Q157" s="11"/>
      <c r="R157" s="11"/>
      <c r="S157" s="11"/>
      <c r="T157" s="11"/>
      <c r="U157" s="12"/>
      <c r="V157" s="46"/>
    </row>
    <row r="158" spans="1:22">
      <c r="A158" s="46"/>
      <c r="B158" s="142"/>
      <c r="C158" s="174">
        <v>200</v>
      </c>
      <c r="D158" s="176">
        <f t="shared" si="10"/>
        <v>37.5</v>
      </c>
      <c r="E158" s="179">
        <f>$D$158*LOG($C$158/$D$141)+E162</f>
        <v>94.279378748591043</v>
      </c>
      <c r="F158" s="179">
        <f t="shared" ref="F158:N158" si="12">$D$158*LOG($C$158/$D$141)+F162</f>
        <v>98.46067923492086</v>
      </c>
      <c r="G158" s="179">
        <f t="shared" si="12"/>
        <v>96.05871847730107</v>
      </c>
      <c r="H158" s="179">
        <f t="shared" si="12"/>
        <v>97.535011582848711</v>
      </c>
      <c r="I158" s="179">
        <f t="shared" si="12"/>
        <v>92.07341859604044</v>
      </c>
      <c r="J158" s="179">
        <f t="shared" si="12"/>
        <v>94.903362201989879</v>
      </c>
      <c r="K158" s="179">
        <f t="shared" si="12"/>
        <v>105.46817282435565</v>
      </c>
      <c r="L158" s="179">
        <f t="shared" si="12"/>
        <v>72.105400264963777</v>
      </c>
      <c r="M158" s="179">
        <f t="shared" si="12"/>
        <v>93.629563355092529</v>
      </c>
      <c r="N158" s="179">
        <f t="shared" si="12"/>
        <v>96.8777178615303</v>
      </c>
      <c r="O158" s="11"/>
      <c r="P158" s="125" t="s">
        <v>428</v>
      </c>
      <c r="Q158" s="11"/>
      <c r="R158" s="11"/>
      <c r="S158" s="11"/>
      <c r="T158" s="11"/>
      <c r="U158" s="12"/>
      <c r="V158" s="46"/>
    </row>
    <row r="159" spans="1:22">
      <c r="A159" s="46"/>
      <c r="B159" s="142"/>
      <c r="C159" s="174">
        <v>250</v>
      </c>
      <c r="D159" s="176">
        <f t="shared" si="10"/>
        <v>40.625</v>
      </c>
      <c r="E159" s="179">
        <f>$D$159*LOG($C$159/$D$141)+E162</f>
        <v>97.684280166434093</v>
      </c>
      <c r="F159" s="179">
        <f t="shared" ref="F159:N159" si="13">$D$159*LOG($C$159/$D$141)+F162</f>
        <v>101.86558065276391</v>
      </c>
      <c r="G159" s="179">
        <f t="shared" si="13"/>
        <v>99.46361989514412</v>
      </c>
      <c r="H159" s="179">
        <f t="shared" si="13"/>
        <v>100.93991300069176</v>
      </c>
      <c r="I159" s="179">
        <f t="shared" si="13"/>
        <v>95.47832001388349</v>
      </c>
      <c r="J159" s="179">
        <f t="shared" si="13"/>
        <v>98.308263619832928</v>
      </c>
      <c r="K159" s="179">
        <f t="shared" si="13"/>
        <v>108.8730742421987</v>
      </c>
      <c r="L159" s="179">
        <f t="shared" si="13"/>
        <v>75.510301682806826</v>
      </c>
      <c r="M159" s="179">
        <f t="shared" si="13"/>
        <v>97.034464772935578</v>
      </c>
      <c r="N159" s="179">
        <f t="shared" si="13"/>
        <v>100.28261927937335</v>
      </c>
      <c r="O159" s="11"/>
      <c r="P159" s="125" t="s">
        <v>429</v>
      </c>
      <c r="Q159" s="11"/>
      <c r="R159" s="11"/>
      <c r="S159" s="11"/>
      <c r="T159" s="11"/>
      <c r="U159" s="12"/>
      <c r="V159" s="46"/>
    </row>
    <row r="160" spans="1:22">
      <c r="A160" s="46"/>
      <c r="B160" s="142"/>
      <c r="C160" s="174">
        <v>300</v>
      </c>
      <c r="D160" s="176">
        <f t="shared" si="10"/>
        <v>43.75</v>
      </c>
      <c r="E160" s="179">
        <f>$D$160*LOG($C$160/$D$141)+E162</f>
        <v>100.91923561105862</v>
      </c>
      <c r="F160" s="179">
        <f t="shared" ref="F160:N160" si="14">$D$160*LOG($C$160/$D$141)+F162</f>
        <v>105.10053609738844</v>
      </c>
      <c r="G160" s="179">
        <f t="shared" si="14"/>
        <v>102.69857533976865</v>
      </c>
      <c r="H160" s="179">
        <f t="shared" si="14"/>
        <v>104.17486844531629</v>
      </c>
      <c r="I160" s="179">
        <f t="shared" si="14"/>
        <v>98.713275458508022</v>
      </c>
      <c r="J160" s="179">
        <f t="shared" si="14"/>
        <v>101.54321906445746</v>
      </c>
      <c r="K160" s="179">
        <f t="shared" si="14"/>
        <v>112.10802968682323</v>
      </c>
      <c r="L160" s="179">
        <f t="shared" si="14"/>
        <v>78.745257127431358</v>
      </c>
      <c r="M160" s="179">
        <f t="shared" si="14"/>
        <v>100.26942021756011</v>
      </c>
      <c r="N160" s="179">
        <f t="shared" si="14"/>
        <v>103.51757472399788</v>
      </c>
      <c r="O160" s="11"/>
      <c r="P160" s="11" t="s">
        <v>430</v>
      </c>
      <c r="Q160" s="11"/>
      <c r="R160" s="11"/>
      <c r="S160" s="11"/>
      <c r="T160" s="11"/>
      <c r="U160" s="12"/>
      <c r="V160" s="46"/>
    </row>
    <row r="161" spans="1:22">
      <c r="A161" s="46"/>
      <c r="B161" s="142"/>
      <c r="C161" s="174">
        <v>350</v>
      </c>
      <c r="D161" s="176">
        <f t="shared" si="10"/>
        <v>46.875</v>
      </c>
      <c r="E161" s="179">
        <f>$D$161*LOG($C$161/$D$141)+E162</f>
        <v>104.07558369893337</v>
      </c>
      <c r="F161" s="179">
        <f t="shared" ref="F161:N161" si="15">$D$161*LOG($C$161/$D$141)+F162</f>
        <v>108.25688418526319</v>
      </c>
      <c r="G161" s="179">
        <f t="shared" si="15"/>
        <v>105.8549234276434</v>
      </c>
      <c r="H161" s="179">
        <f t="shared" si="15"/>
        <v>107.33121653319104</v>
      </c>
      <c r="I161" s="179">
        <f t="shared" si="15"/>
        <v>101.86962354638277</v>
      </c>
      <c r="J161" s="179">
        <f t="shared" si="15"/>
        <v>104.69956715233221</v>
      </c>
      <c r="K161" s="179">
        <f t="shared" si="15"/>
        <v>115.26437777469798</v>
      </c>
      <c r="L161" s="179">
        <f t="shared" si="15"/>
        <v>81.901605215306105</v>
      </c>
      <c r="M161" s="179">
        <f t="shared" si="15"/>
        <v>103.42576830543486</v>
      </c>
      <c r="N161" s="179">
        <f t="shared" si="15"/>
        <v>106.67392281187263</v>
      </c>
      <c r="O161" s="11"/>
      <c r="P161" s="11"/>
      <c r="Q161" s="11"/>
      <c r="R161" s="15" t="s">
        <v>435</v>
      </c>
      <c r="S161" s="11"/>
      <c r="T161" s="11"/>
      <c r="U161" s="12"/>
      <c r="V161" s="46"/>
    </row>
    <row r="162" spans="1:22">
      <c r="A162" s="46"/>
      <c r="B162" s="155" t="s">
        <v>385</v>
      </c>
      <c r="C162" s="174">
        <v>296</v>
      </c>
      <c r="D162" s="176">
        <f t="shared" si="10"/>
        <v>43.5</v>
      </c>
      <c r="E162" s="179">
        <f>E129</f>
        <v>100.66419307590195</v>
      </c>
      <c r="F162" s="179">
        <f t="shared" ref="F162:N162" si="16">F129</f>
        <v>104.84549356223177</v>
      </c>
      <c r="G162" s="179">
        <f t="shared" si="16"/>
        <v>102.44353280461198</v>
      </c>
      <c r="H162" s="179">
        <f t="shared" si="16"/>
        <v>103.91982591015962</v>
      </c>
      <c r="I162" s="179">
        <f t="shared" si="16"/>
        <v>98.458232923351346</v>
      </c>
      <c r="J162" s="179">
        <f t="shared" si="16"/>
        <v>101.28817652930078</v>
      </c>
      <c r="K162" s="179">
        <f t="shared" si="16"/>
        <v>111.85298715166655</v>
      </c>
      <c r="L162" s="179">
        <f t="shared" si="16"/>
        <v>78.490214592274683</v>
      </c>
      <c r="M162" s="179">
        <f t="shared" si="16"/>
        <v>100.01437768240343</v>
      </c>
      <c r="N162" s="179">
        <f t="shared" si="16"/>
        <v>103.26253218884121</v>
      </c>
      <c r="O162" s="11"/>
      <c r="P162" s="11"/>
      <c r="Q162" s="11"/>
      <c r="R162" s="11"/>
      <c r="S162" s="11"/>
      <c r="T162" s="11"/>
      <c r="U162" s="12"/>
      <c r="V162" s="46"/>
    </row>
    <row r="163" spans="1:22">
      <c r="A163" s="46"/>
      <c r="B163" s="142"/>
      <c r="C163" s="160"/>
      <c r="D163" s="66"/>
      <c r="E163" s="109"/>
      <c r="F163" s="11"/>
      <c r="G163" s="11"/>
      <c r="H163" s="11"/>
      <c r="I163" s="11"/>
      <c r="J163" s="11"/>
      <c r="K163" s="11"/>
      <c r="L163" s="11"/>
      <c r="M163" s="11"/>
      <c r="N163" s="11"/>
      <c r="O163" s="11"/>
      <c r="P163" s="11"/>
      <c r="Q163" s="11"/>
      <c r="R163" s="11"/>
      <c r="S163" s="11"/>
      <c r="T163" s="11"/>
      <c r="U163" s="12"/>
      <c r="V163" s="46"/>
    </row>
    <row r="164" spans="1:22" ht="14.5" customHeight="1">
      <c r="A164" s="46"/>
      <c r="B164" s="142"/>
      <c r="C164" s="552"/>
      <c r="D164" s="553"/>
      <c r="E164" s="556" t="s">
        <v>359</v>
      </c>
      <c r="F164" s="501"/>
      <c r="G164" s="501"/>
      <c r="H164" s="501"/>
      <c r="I164" s="501"/>
      <c r="J164" s="454"/>
      <c r="K164" s="455"/>
      <c r="L164" s="455"/>
      <c r="M164" s="455"/>
      <c r="N164" s="457"/>
      <c r="O164" s="11"/>
      <c r="P164" s="11"/>
      <c r="Q164" s="11"/>
      <c r="R164" s="11"/>
      <c r="S164" s="11"/>
      <c r="T164" s="11"/>
      <c r="U164" s="12"/>
      <c r="V164" s="46"/>
    </row>
    <row r="165" spans="1:22" ht="26.5" customHeight="1">
      <c r="A165" s="46"/>
      <c r="B165" s="142"/>
      <c r="C165" s="625" t="s">
        <v>266</v>
      </c>
      <c r="D165" s="465" t="s">
        <v>338</v>
      </c>
      <c r="E165" s="261" t="s">
        <v>350</v>
      </c>
      <c r="F165" s="351" t="s">
        <v>713</v>
      </c>
      <c r="G165" s="258" t="s">
        <v>351</v>
      </c>
      <c r="H165" s="258" t="s">
        <v>352</v>
      </c>
      <c r="I165" s="258" t="s">
        <v>353</v>
      </c>
      <c r="J165" s="258" t="s">
        <v>347</v>
      </c>
      <c r="K165" s="405" t="s">
        <v>348</v>
      </c>
      <c r="L165" s="405" t="s">
        <v>354</v>
      </c>
      <c r="M165" s="405" t="s">
        <v>355</v>
      </c>
      <c r="N165" s="258" t="s">
        <v>356</v>
      </c>
      <c r="O165" s="11"/>
      <c r="P165" s="11"/>
      <c r="Q165" s="11"/>
      <c r="R165" s="11"/>
      <c r="S165" s="11"/>
      <c r="T165" s="11"/>
      <c r="U165" s="12"/>
      <c r="V165" s="46"/>
    </row>
    <row r="166" spans="1:22">
      <c r="A166" s="46"/>
      <c r="B166" s="142"/>
      <c r="C166" s="174">
        <v>80</v>
      </c>
      <c r="D166" s="176">
        <f>D146</f>
        <v>31.559531172840455</v>
      </c>
      <c r="E166" s="179">
        <f>$D$166*LOG(C166/$D$141)+$E$172</f>
        <v>68.231325532419675</v>
      </c>
      <c r="F166" s="179">
        <f>$D$166*LOG(C166/$D$141)+$F$172</f>
        <v>71.810309247232254</v>
      </c>
      <c r="G166" s="179">
        <f>$D$166*LOG(C166/$D$141)+$G$172</f>
        <v>69.754351187474199</v>
      </c>
      <c r="H166" s="179">
        <f>$D$166*LOG(C166/$D$141)+$H$172</f>
        <v>71.017984117066121</v>
      </c>
      <c r="I166" s="179">
        <f>$D$166*LOG(C166/$D$141)+$I$172</f>
        <v>66.343134170111227</v>
      </c>
      <c r="J166" s="179">
        <f>$D$166*LOG(C166/$D$141)+$J$172</f>
        <v>68.765424104222447</v>
      </c>
      <c r="K166" s="179">
        <f>$D$166*LOG(C166/$D$141)+$K$172</f>
        <v>77.808372653637818</v>
      </c>
      <c r="L166" s="179">
        <f>$D$166*LOG(C166/$D$141)+$L$172</f>
        <v>49.251510963970446</v>
      </c>
      <c r="M166" s="179">
        <f>$D$166*LOG(C166/$D$141)+$M$172</f>
        <v>67.67511611418503</v>
      </c>
      <c r="N166" s="179">
        <f>$D$166*LOG(C166/$D$141)+$N$172</f>
        <v>70.455373624914657</v>
      </c>
      <c r="O166" s="11"/>
      <c r="P166" s="11"/>
      <c r="Q166" s="11"/>
      <c r="R166" s="11"/>
      <c r="S166" s="11"/>
      <c r="T166" s="11"/>
      <c r="U166" s="12"/>
      <c r="V166" s="46"/>
    </row>
    <row r="167" spans="1:22">
      <c r="A167" s="46"/>
      <c r="B167" s="142"/>
      <c r="C167" s="174">
        <v>150</v>
      </c>
      <c r="D167" s="176">
        <f t="shared" ref="D167:D172" si="17">$G$140*C167+$I$140</f>
        <v>34.375</v>
      </c>
      <c r="E167" s="179">
        <f>$D$167*LOG(C167/$D$141)+$E$172</f>
        <v>76.015990017961727</v>
      </c>
      <c r="F167" s="179">
        <f>$D$167*LOG(C167/$D$141)+$F$172</f>
        <v>79.594973732774307</v>
      </c>
      <c r="G167" s="179">
        <f>$D$167*LOG(C167/$D$141)+$G$172</f>
        <v>77.539015673016252</v>
      </c>
      <c r="H167" s="179">
        <f>$D$167*LOG(C167/$D$141)+$H$172</f>
        <v>78.802648602608173</v>
      </c>
      <c r="I167" s="179">
        <f>$D$167*LOG(C167/$D$141)+$I$172</f>
        <v>74.12779865565328</v>
      </c>
      <c r="J167" s="179">
        <f>$D$167*LOG(C167/$D$141)+$J$172</f>
        <v>76.550088589764499</v>
      </c>
      <c r="K167" s="179">
        <f>$D$167*LOG(C167/$D$141)+$K$172</f>
        <v>85.59303713917987</v>
      </c>
      <c r="L167" s="179">
        <f>$D$167*LOG(C167/$D$141)+$L$172</f>
        <v>57.036175449512498</v>
      </c>
      <c r="M167" s="179">
        <f>$D$167*LOG(C167/$D$141)+$M$172</f>
        <v>75.459780599727083</v>
      </c>
      <c r="N167" s="179">
        <f>$D$167*LOG(C167/$D$141)+$N$172</f>
        <v>78.240038110456709</v>
      </c>
      <c r="O167" s="11"/>
      <c r="P167" s="11"/>
      <c r="Q167" s="11"/>
      <c r="R167" s="11"/>
      <c r="S167" s="11"/>
      <c r="T167" s="11"/>
      <c r="U167" s="12"/>
      <c r="V167" s="46"/>
    </row>
    <row r="168" spans="1:22">
      <c r="A168" s="46"/>
      <c r="B168" s="142"/>
      <c r="C168" s="174">
        <v>200</v>
      </c>
      <c r="D168" s="176">
        <f t="shared" si="17"/>
        <v>37.5</v>
      </c>
      <c r="E168" s="179">
        <f>$D$168*LOG(C168/$D$141)+$E$172</f>
        <v>79.778691228262787</v>
      </c>
      <c r="F168" s="179">
        <f>$D$168*LOG(C168/$D$141)+$F$172</f>
        <v>83.357674943075367</v>
      </c>
      <c r="G168" s="179">
        <f>$D$168*LOG(C168/$D$141)+$G$172</f>
        <v>81.301716883317312</v>
      </c>
      <c r="H168" s="179">
        <f>$D$168*LOG(C168/$D$141)+$H$172</f>
        <v>82.565349812909233</v>
      </c>
      <c r="I168" s="179">
        <f>$D$168*LOG(C168/$D$141)+$I$172</f>
        <v>77.890499865954339</v>
      </c>
      <c r="J168" s="179">
        <f>$D$168*LOG(C168/$D$141)+$J$172</f>
        <v>80.312789800065559</v>
      </c>
      <c r="K168" s="179">
        <f>$D$168*LOG(C168/$D$141)+$K$172</f>
        <v>89.35573834948093</v>
      </c>
      <c r="L168" s="179">
        <f>$D$168*LOG(C168/$D$141)+$L$172</f>
        <v>60.798876659813558</v>
      </c>
      <c r="M168" s="179">
        <f>$D$168*LOG(C168/$D$141)+$M$172</f>
        <v>79.222481810028142</v>
      </c>
      <c r="N168" s="179">
        <f>$D$168*LOG(C168/$D$141)+$N$172</f>
        <v>82.002739320757769</v>
      </c>
      <c r="O168" s="11"/>
      <c r="P168" s="11"/>
      <c r="Q168" s="11"/>
      <c r="R168" s="11"/>
      <c r="S168" s="11"/>
      <c r="T168" s="11"/>
      <c r="U168" s="12"/>
      <c r="V168" s="46"/>
    </row>
    <row r="169" spans="1:22">
      <c r="A169" s="46"/>
      <c r="B169" s="142"/>
      <c r="C169" s="174">
        <v>250</v>
      </c>
      <c r="D169" s="176">
        <f t="shared" si="17"/>
        <v>40.625</v>
      </c>
      <c r="E169" s="179">
        <f>$D$169*LOG(C169/$D$141)+$E$172</f>
        <v>83.183592646105836</v>
      </c>
      <c r="F169" s="179">
        <f>$D$169*LOG(C169/$D$141)+$F$172</f>
        <v>86.762576360918416</v>
      </c>
      <c r="G169" s="179">
        <f>$D$169*LOG(C169/$D$141)+$G$172</f>
        <v>84.706618301160361</v>
      </c>
      <c r="H169" s="179">
        <f>$D$169*LOG(C169/$D$141)+$H$172</f>
        <v>85.970251230752282</v>
      </c>
      <c r="I169" s="179">
        <f>$D$169*LOG(C169/$D$141)+$I$172</f>
        <v>81.295401283797389</v>
      </c>
      <c r="J169" s="179">
        <f>$D$169*LOG(C169/$D$141)+$J$172</f>
        <v>83.717691217908609</v>
      </c>
      <c r="K169" s="179">
        <f>$D$169*LOG(C169/$D$141)+$K$172</f>
        <v>92.76063976732398</v>
      </c>
      <c r="L169" s="179">
        <f>$D$169*LOG(C169/$D$141)+$L$172</f>
        <v>64.203778077656608</v>
      </c>
      <c r="M169" s="179">
        <f>$D$169*LOG(C169/$D$141)+$M$172</f>
        <v>82.627383227871192</v>
      </c>
      <c r="N169" s="179">
        <f>$D$169*LOG(C169/$D$141)+$N$172</f>
        <v>85.407640738600819</v>
      </c>
      <c r="O169" s="11"/>
      <c r="P169" s="11"/>
      <c r="Q169" s="11"/>
      <c r="R169" s="11"/>
      <c r="S169" s="11"/>
      <c r="T169" s="11"/>
      <c r="U169" s="12"/>
      <c r="V169" s="46"/>
    </row>
    <row r="170" spans="1:22">
      <c r="A170" s="46"/>
      <c r="B170" s="142"/>
      <c r="C170" s="174">
        <v>300</v>
      </c>
      <c r="D170" s="176">
        <f t="shared" si="17"/>
        <v>43.75</v>
      </c>
      <c r="E170" s="179">
        <f>$D$170*LOG(C170/$D$141)+$E$172</f>
        <v>86.418548090730368</v>
      </c>
      <c r="F170" s="179">
        <f>$D$170*LOG(C170/$D$141)+$F$172</f>
        <v>89.997531805542948</v>
      </c>
      <c r="G170" s="179">
        <f>$D$170*LOG(C170/$D$141)+$G$172</f>
        <v>87.941573745784893</v>
      </c>
      <c r="H170" s="179">
        <f>$D$170*LOG(C170/$D$141)+$H$172</f>
        <v>89.205206675376814</v>
      </c>
      <c r="I170" s="179">
        <f>$D$170*LOG(C170/$D$141)+$I$172</f>
        <v>84.530356728421921</v>
      </c>
      <c r="J170" s="179">
        <f>$D$170*LOG(C170/$D$141)+$J$172</f>
        <v>86.952646662533141</v>
      </c>
      <c r="K170" s="179">
        <f>$D$170*LOG(C170/$D$141)+$K$172</f>
        <v>95.995595211948512</v>
      </c>
      <c r="L170" s="179">
        <f>$D$170*LOG(C170/$D$141)+$L$172</f>
        <v>67.43873352228114</v>
      </c>
      <c r="M170" s="179">
        <f>$D$170*LOG(C170/$D$141)+$M$172</f>
        <v>85.862338672495724</v>
      </c>
      <c r="N170" s="179">
        <f>$D$170*LOG(C170/$D$141)+$N$172</f>
        <v>88.642596183225351</v>
      </c>
      <c r="O170" s="11"/>
      <c r="P170" s="11"/>
      <c r="Q170" s="11"/>
      <c r="R170" s="11"/>
      <c r="S170" s="11"/>
      <c r="T170" s="11"/>
      <c r="U170" s="12"/>
      <c r="V170" s="46"/>
    </row>
    <row r="171" spans="1:22">
      <c r="A171" s="46"/>
      <c r="B171" s="142"/>
      <c r="C171" s="174">
        <v>350</v>
      </c>
      <c r="D171" s="176">
        <f t="shared" si="17"/>
        <v>46.875</v>
      </c>
      <c r="E171" s="179">
        <f>$D$171*LOG(C171/$D$141)+$E$172</f>
        <v>89.574896178605115</v>
      </c>
      <c r="F171" s="179">
        <f>$D$171*LOG(C171/$D$141)+$F$172</f>
        <v>93.153879893417695</v>
      </c>
      <c r="G171" s="179">
        <f>$D$171*LOG(C171/$D$141)+$G$172</f>
        <v>91.09792183365964</v>
      </c>
      <c r="H171" s="179">
        <f>$D$171*LOG(C171/$D$141)+$H$172</f>
        <v>92.361554763251561</v>
      </c>
      <c r="I171" s="179">
        <f>$D$171*LOG(C171/$D$141)+$I$172</f>
        <v>87.686704816296668</v>
      </c>
      <c r="J171" s="179">
        <f>$D$171*LOG(C171/$D$141)+$J$172</f>
        <v>90.108994750407888</v>
      </c>
      <c r="K171" s="179">
        <f>$D$171*LOG(C171/$D$141)+$K$172</f>
        <v>99.151943299823259</v>
      </c>
      <c r="L171" s="179">
        <f>$D$171*LOG(C171/$D$141)+$L$172</f>
        <v>70.595081610155887</v>
      </c>
      <c r="M171" s="179">
        <f>$D$171*LOG(C171/$D$141)+$M$172</f>
        <v>89.018686760370471</v>
      </c>
      <c r="N171" s="179">
        <f>$D$171*LOG(C171/$D$141)+$N$172</f>
        <v>91.798944271100098</v>
      </c>
      <c r="O171" s="11"/>
      <c r="P171" s="11"/>
      <c r="Q171" s="11"/>
      <c r="R171" s="11"/>
      <c r="S171" s="11"/>
      <c r="T171" s="11"/>
      <c r="U171" s="12"/>
      <c r="V171" s="46"/>
    </row>
    <row r="172" spans="1:22">
      <c r="A172" s="46"/>
      <c r="B172" s="155" t="s">
        <v>385</v>
      </c>
      <c r="C172" s="174">
        <v>296</v>
      </c>
      <c r="D172" s="176">
        <f t="shared" si="17"/>
        <v>43.5</v>
      </c>
      <c r="E172" s="179">
        <f>E130</f>
        <v>86.163505555573693</v>
      </c>
      <c r="F172" s="179">
        <f t="shared" ref="F172:N172" si="18">F130</f>
        <v>89.742489270386272</v>
      </c>
      <c r="G172" s="179">
        <f t="shared" si="18"/>
        <v>87.686531210628218</v>
      </c>
      <c r="H172" s="179">
        <f t="shared" si="18"/>
        <v>88.950164140220139</v>
      </c>
      <c r="I172" s="179">
        <f t="shared" si="18"/>
        <v>84.275314193265245</v>
      </c>
      <c r="J172" s="179">
        <f t="shared" si="18"/>
        <v>86.697604127376465</v>
      </c>
      <c r="K172" s="179">
        <f t="shared" si="18"/>
        <v>95.740552676791836</v>
      </c>
      <c r="L172" s="179">
        <f t="shared" si="18"/>
        <v>67.183690987124464</v>
      </c>
      <c r="M172" s="179">
        <f t="shared" si="18"/>
        <v>85.607296137339048</v>
      </c>
      <c r="N172" s="179">
        <f t="shared" si="18"/>
        <v>88.387553648068675</v>
      </c>
      <c r="O172" s="11"/>
      <c r="P172" s="11"/>
      <c r="Q172" s="11"/>
      <c r="R172" s="11"/>
      <c r="S172" s="11"/>
      <c r="T172" s="11"/>
      <c r="U172" s="12"/>
      <c r="V172" s="46"/>
    </row>
    <row r="173" spans="1:22" ht="15" customHeight="1">
      <c r="A173" s="46"/>
      <c r="B173" s="10"/>
      <c r="C173" s="11"/>
      <c r="D173" s="11"/>
      <c r="E173" s="11"/>
      <c r="F173" s="11"/>
      <c r="G173" s="11"/>
      <c r="H173" s="11"/>
      <c r="I173" s="11"/>
      <c r="J173" s="11"/>
      <c r="K173" s="11"/>
      <c r="L173" s="11"/>
      <c r="M173" s="11"/>
      <c r="N173" s="11"/>
      <c r="O173" s="11"/>
      <c r="P173" s="11"/>
      <c r="Q173" s="11"/>
      <c r="R173" s="11"/>
      <c r="S173" s="11"/>
      <c r="T173" s="11"/>
      <c r="U173" s="12"/>
      <c r="V173" s="46"/>
    </row>
    <row r="174" spans="1:22" ht="14.5" customHeight="1">
      <c r="A174" s="46"/>
      <c r="B174" s="10"/>
      <c r="C174" s="552"/>
      <c r="D174" s="553"/>
      <c r="E174" s="556" t="s">
        <v>360</v>
      </c>
      <c r="F174" s="501"/>
      <c r="G174" s="501"/>
      <c r="H174" s="501"/>
      <c r="I174" s="501"/>
      <c r="J174" s="454"/>
      <c r="K174" s="455"/>
      <c r="L174" s="455"/>
      <c r="M174" s="455"/>
      <c r="N174" s="457"/>
      <c r="O174" s="11"/>
      <c r="P174" s="11"/>
      <c r="Q174" s="11"/>
      <c r="R174" s="11"/>
      <c r="S174" s="11"/>
      <c r="T174" s="11"/>
      <c r="U174" s="12"/>
      <c r="V174" s="46"/>
    </row>
    <row r="175" spans="1:22" ht="25" customHeight="1">
      <c r="A175" s="46"/>
      <c r="B175" s="10"/>
      <c r="C175" s="625" t="s">
        <v>266</v>
      </c>
      <c r="D175" s="465" t="s">
        <v>338</v>
      </c>
      <c r="E175" s="261" t="s">
        <v>350</v>
      </c>
      <c r="F175" s="351" t="s">
        <v>713</v>
      </c>
      <c r="G175" s="258" t="s">
        <v>351</v>
      </c>
      <c r="H175" s="258" t="s">
        <v>352</v>
      </c>
      <c r="I175" s="258" t="s">
        <v>353</v>
      </c>
      <c r="J175" s="258" t="s">
        <v>347</v>
      </c>
      <c r="K175" s="405" t="s">
        <v>348</v>
      </c>
      <c r="L175" s="405" t="s">
        <v>354</v>
      </c>
      <c r="M175" s="405" t="s">
        <v>355</v>
      </c>
      <c r="N175" s="258" t="s">
        <v>356</v>
      </c>
      <c r="O175" s="11"/>
      <c r="P175" s="11"/>
      <c r="Q175" s="11"/>
      <c r="R175" s="11"/>
      <c r="S175" s="11"/>
      <c r="T175" s="11"/>
      <c r="U175" s="12"/>
      <c r="V175" s="46"/>
    </row>
    <row r="176" spans="1:22">
      <c r="A176" s="46"/>
      <c r="B176" s="10"/>
      <c r="C176" s="174">
        <v>80</v>
      </c>
      <c r="D176" s="176">
        <f>D146</f>
        <v>31.559531172840455</v>
      </c>
      <c r="E176" s="179">
        <f>$D$176*LOG(C176/$D$141)+$E$182</f>
        <v>67.439513071943423</v>
      </c>
      <c r="F176" s="179">
        <f>$D$176*LOG(C176/$D$141)+$F$182</f>
        <v>71.018496786756003</v>
      </c>
      <c r="G176" s="179">
        <f>$D$176*LOG(C176/$D$141)+$G$182</f>
        <v>68.962538726997948</v>
      </c>
      <c r="H176" s="179">
        <f>$D$176*LOG(C176/$D$141)+$H$182</f>
        <v>70.226171656589869</v>
      </c>
      <c r="I176" s="179">
        <f>$D$176*LOG(C176/$D$141)+$I$182</f>
        <v>65.551321709634976</v>
      </c>
      <c r="J176" s="179">
        <f>$D$176*LOG(C176/$D$141)+$J$182</f>
        <v>67.973611643746196</v>
      </c>
      <c r="K176" s="179">
        <f>$D$176*LOG(C176/$D$141)+$K$182</f>
        <v>77.016560193161567</v>
      </c>
      <c r="L176" s="179">
        <f>$D$176*LOG(C176/$D$141)+$L$182</f>
        <v>48.459698503494195</v>
      </c>
      <c r="M176" s="179">
        <f>$D$176*LOG(C176/$D$141)+$M$182</f>
        <v>66.883303653708779</v>
      </c>
      <c r="N176" s="179">
        <f>$D$176*LOG(C176/$D$141)+$N$182</f>
        <v>69.663561164438406</v>
      </c>
      <c r="O176" s="11"/>
      <c r="P176" s="11"/>
      <c r="Q176" s="11"/>
      <c r="R176" s="11"/>
      <c r="S176" s="11"/>
      <c r="T176" s="11"/>
      <c r="U176" s="12"/>
      <c r="V176" s="46"/>
    </row>
    <row r="177" spans="1:23">
      <c r="A177" s="46"/>
      <c r="B177" s="10"/>
      <c r="C177" s="174">
        <v>150</v>
      </c>
      <c r="D177" s="176">
        <f t="shared" ref="D177:D182" si="19">$G$140*C177+$I$140</f>
        <v>34.375</v>
      </c>
      <c r="E177" s="179">
        <f>$D$177*LOG(C177/$D$141)+$E$182</f>
        <v>75.224177557485476</v>
      </c>
      <c r="F177" s="179">
        <f>$D$177*LOG(C177/$D$141)+$F$182</f>
        <v>78.803161272298055</v>
      </c>
      <c r="G177" s="179">
        <f>$D$177*LOG(C177/$D$141)+$G$182</f>
        <v>76.747203212540001</v>
      </c>
      <c r="H177" s="179">
        <f>$D$177*LOG(C177/$D$141)+$H$182</f>
        <v>78.010836142131922</v>
      </c>
      <c r="I177" s="179">
        <f>$D$177*LOG(C177/$D$141)+$I$182</f>
        <v>73.335986195177028</v>
      </c>
      <c r="J177" s="179">
        <f>$D$177*LOG(C177/$D$141)+$J$182</f>
        <v>75.758276129288248</v>
      </c>
      <c r="K177" s="179">
        <f>$D$177*LOG(C177/$D$141)+$K$182</f>
        <v>84.801224678703619</v>
      </c>
      <c r="L177" s="179">
        <f>$D$177*LOG(C177/$D$141)+$L$182</f>
        <v>56.244362989036247</v>
      </c>
      <c r="M177" s="179">
        <f>$D$177*LOG(C177/$D$141)+$M$182</f>
        <v>74.667968139250831</v>
      </c>
      <c r="N177" s="179">
        <f>$D$177*LOG(C177/$D$141)+$N$182</f>
        <v>77.448225649980458</v>
      </c>
      <c r="O177" s="11"/>
      <c r="P177" s="11"/>
      <c r="Q177" s="11"/>
      <c r="R177" s="11"/>
      <c r="S177" s="11"/>
      <c r="T177" s="11"/>
      <c r="U177" s="12"/>
      <c r="V177" s="46"/>
    </row>
    <row r="178" spans="1:23">
      <c r="A178" s="46"/>
      <c r="B178" s="10"/>
      <c r="C178" s="174">
        <v>200</v>
      </c>
      <c r="D178" s="176">
        <f t="shared" si="19"/>
        <v>37.5</v>
      </c>
      <c r="E178" s="179">
        <f>$D$178*LOG(C178/$D$141)+$E$182</f>
        <v>78.986878767786536</v>
      </c>
      <c r="F178" s="179">
        <f>$D$178*LOG(C178/$D$141)+$F$182</f>
        <v>82.565862482599115</v>
      </c>
      <c r="G178" s="179">
        <f>$D$178*LOG(C178/$D$141)+$G$182</f>
        <v>80.509904422841061</v>
      </c>
      <c r="H178" s="179">
        <f>$D$178*LOG(C178/$D$141)+$H$182</f>
        <v>81.773537352432982</v>
      </c>
      <c r="I178" s="179">
        <f>$D$178*LOG(C178/$D$141)+$I$182</f>
        <v>77.098687405478088</v>
      </c>
      <c r="J178" s="179">
        <f>$D$178*LOG(C178/$D$141)+$J$182</f>
        <v>79.520977339589308</v>
      </c>
      <c r="K178" s="179">
        <f>$D$178*LOG(C178/$D$141)+$K$182</f>
        <v>88.563925889004679</v>
      </c>
      <c r="L178" s="179">
        <f>$D$178*LOG(C178/$D$141)+$L$182</f>
        <v>60.007064199337307</v>
      </c>
      <c r="M178" s="179">
        <f>$D$178*LOG(C178/$D$141)+$M$182</f>
        <v>78.430669349551891</v>
      </c>
      <c r="N178" s="179">
        <f>$D$178*LOG(C178/$D$141)+$N$182</f>
        <v>81.210926860281518</v>
      </c>
      <c r="O178" s="11"/>
      <c r="P178" s="11"/>
      <c r="Q178" s="11"/>
      <c r="R178" s="11"/>
      <c r="S178" s="11"/>
      <c r="T178" s="11"/>
      <c r="U178" s="12"/>
      <c r="V178" s="46"/>
      <c r="W178" s="46"/>
    </row>
    <row r="179" spans="1:23">
      <c r="A179" s="46"/>
      <c r="B179" s="10"/>
      <c r="C179" s="174">
        <v>250</v>
      </c>
      <c r="D179" s="176">
        <f t="shared" si="19"/>
        <v>40.625</v>
      </c>
      <c r="E179" s="179">
        <f>$D$179*LOG(C179/$D$141)+$E$182</f>
        <v>82.391780185629585</v>
      </c>
      <c r="F179" s="179">
        <f>$D$179*LOG(C179/$D$141)+$F$182</f>
        <v>85.970763900442165</v>
      </c>
      <c r="G179" s="179">
        <f>$D$179*LOG(C179/$D$141)+$G$182</f>
        <v>83.91480584068411</v>
      </c>
      <c r="H179" s="377">
        <f>$D$179*LOG(C179/$D$141)+$H$182</f>
        <v>85.178438770276031</v>
      </c>
      <c r="I179" s="179">
        <f>$D$179*LOG(C179/$D$141)+$I$182</f>
        <v>80.503588823321138</v>
      </c>
      <c r="J179" s="179">
        <f>$D$179*LOG(C179/$D$141)+$J$182</f>
        <v>82.925878757432358</v>
      </c>
      <c r="K179" s="179">
        <f>$D$179*LOG(C179/$D$141)+$K$182</f>
        <v>91.968827306847729</v>
      </c>
      <c r="L179" s="179">
        <f>$D$179*LOG(C179/$D$141)+$L$182</f>
        <v>63.411965617180364</v>
      </c>
      <c r="M179" s="179">
        <f>$D$179*LOG(C179/$D$141)+$M$182</f>
        <v>81.835570767394941</v>
      </c>
      <c r="N179" s="179">
        <f>$D$179*LOG(C179/$D$141)+$N$182</f>
        <v>84.615828278124567</v>
      </c>
      <c r="O179" s="11"/>
      <c r="P179" s="11"/>
      <c r="Q179" s="11"/>
      <c r="R179" s="11"/>
      <c r="S179" s="11"/>
      <c r="T179" s="11"/>
      <c r="U179" s="12"/>
      <c r="V179" s="46"/>
      <c r="W179" s="46"/>
    </row>
    <row r="180" spans="1:23">
      <c r="A180" s="46"/>
      <c r="B180" s="116"/>
      <c r="C180" s="174">
        <v>300</v>
      </c>
      <c r="D180" s="176">
        <f t="shared" si="19"/>
        <v>43.75</v>
      </c>
      <c r="E180" s="179">
        <f>$D$180*LOG(C180/$D$141)+$E$182</f>
        <v>85.626735630254117</v>
      </c>
      <c r="F180" s="179">
        <f>$D$180*LOG(C180/$D$141)+$F$182</f>
        <v>89.205719345066697</v>
      </c>
      <c r="G180" s="179">
        <f>$D$180*LOG(C180/$D$141)+$G$182</f>
        <v>87.149761285308642</v>
      </c>
      <c r="H180" s="377">
        <f>$D$180*LOG(C180/$D$141)+$H$182</f>
        <v>88.413394214900563</v>
      </c>
      <c r="I180" s="179">
        <f>$D$180*LOG(C180/$D$141)+$I$182</f>
        <v>83.73854426794567</v>
      </c>
      <c r="J180" s="179">
        <f>$D$180*LOG(C180/$D$141)+$J$182</f>
        <v>86.16083420205689</v>
      </c>
      <c r="K180" s="179">
        <f>$D$180*LOG(C180/$D$141)+$K$182</f>
        <v>95.203782751472261</v>
      </c>
      <c r="L180" s="179">
        <f>$D$180*LOG(C180/$D$141)+$L$182</f>
        <v>66.646921061804889</v>
      </c>
      <c r="M180" s="179">
        <f>$D$180*LOG(C180/$D$141)+$M$182</f>
        <v>85.070526212019473</v>
      </c>
      <c r="N180" s="179">
        <f>$D$180*LOG(C180/$D$141)+$N$182</f>
        <v>87.8507837227491</v>
      </c>
      <c r="O180" s="11"/>
      <c r="P180" s="11"/>
      <c r="Q180" s="11"/>
      <c r="R180" s="11"/>
      <c r="S180" s="11"/>
      <c r="T180" s="11"/>
      <c r="U180" s="12"/>
      <c r="V180" s="46"/>
      <c r="W180" s="46"/>
    </row>
    <row r="181" spans="1:23">
      <c r="A181" s="46"/>
      <c r="B181" s="116"/>
      <c r="C181" s="174">
        <v>350</v>
      </c>
      <c r="D181" s="176">
        <f t="shared" si="19"/>
        <v>46.875</v>
      </c>
      <c r="E181" s="179">
        <f>$D$181*LOG(C181/$D$141)+$E$182</f>
        <v>88.783083718128864</v>
      </c>
      <c r="F181" s="179">
        <f>$D$181*LOG(C181/$D$141)+$F$182</f>
        <v>92.362067432941444</v>
      </c>
      <c r="G181" s="179">
        <f>$D$181*LOG(C181/$D$141)+$G$182</f>
        <v>90.306109373183389</v>
      </c>
      <c r="H181" s="377">
        <f>$D$181*LOG(C181/$D$141)+$H$182</f>
        <v>91.56974230277531</v>
      </c>
      <c r="I181" s="179">
        <f>$D$181*LOG(C181/$D$141)+$I$182</f>
        <v>86.894892355820417</v>
      </c>
      <c r="J181" s="179">
        <f>$D$181*LOG(C181/$D$141)+$J$182</f>
        <v>89.317182289931637</v>
      </c>
      <c r="K181" s="179">
        <f>$D$181*LOG(C181/$D$141)+$K$182</f>
        <v>98.360130839347008</v>
      </c>
      <c r="L181" s="179">
        <f>$D$181*LOG(C181/$D$141)+$L$182</f>
        <v>69.803269149679636</v>
      </c>
      <c r="M181" s="179">
        <f>$D$181*LOG(C181/$D$141)+$M$182</f>
        <v>88.22687429989422</v>
      </c>
      <c r="N181" s="179">
        <f>$D$181*LOG(C181/$D$141)+$N$182</f>
        <v>91.007131810623846</v>
      </c>
      <c r="O181" s="11"/>
      <c r="P181" s="11"/>
      <c r="Q181" s="11"/>
      <c r="R181" s="11"/>
      <c r="S181" s="11"/>
      <c r="T181" s="11"/>
      <c r="U181" s="12"/>
      <c r="V181" s="46"/>
    </row>
    <row r="182" spans="1:23">
      <c r="A182" s="46"/>
      <c r="B182" s="155" t="s">
        <v>385</v>
      </c>
      <c r="C182" s="174">
        <v>296</v>
      </c>
      <c r="D182" s="176">
        <f t="shared" si="19"/>
        <v>43.5</v>
      </c>
      <c r="E182" s="179">
        <f>E131</f>
        <v>85.371693095097442</v>
      </c>
      <c r="F182" s="179">
        <f t="shared" ref="F182:N182" si="20">F131</f>
        <v>88.950676809910021</v>
      </c>
      <c r="G182" s="179">
        <f t="shared" si="20"/>
        <v>86.894718750151966</v>
      </c>
      <c r="H182" s="179">
        <f t="shared" si="20"/>
        <v>88.158351679743888</v>
      </c>
      <c r="I182" s="179">
        <f t="shared" si="20"/>
        <v>83.483501732788994</v>
      </c>
      <c r="J182" s="179">
        <f t="shared" si="20"/>
        <v>85.905791666900214</v>
      </c>
      <c r="K182" s="179">
        <f t="shared" si="20"/>
        <v>94.948740216315585</v>
      </c>
      <c r="L182" s="179">
        <f t="shared" si="20"/>
        <v>66.391878526648213</v>
      </c>
      <c r="M182" s="179">
        <f t="shared" si="20"/>
        <v>84.815483676862797</v>
      </c>
      <c r="N182" s="179">
        <f t="shared" si="20"/>
        <v>87.595741187592424</v>
      </c>
      <c r="O182" s="11"/>
      <c r="P182" s="11"/>
      <c r="Q182" s="11"/>
      <c r="R182" s="11"/>
      <c r="S182" s="11"/>
      <c r="T182" s="11"/>
      <c r="U182" s="12"/>
      <c r="V182" s="46"/>
    </row>
    <row r="183" spans="1:23">
      <c r="A183" s="46"/>
      <c r="B183" s="116"/>
      <c r="C183" s="117"/>
      <c r="D183" s="184"/>
      <c r="E183" s="185"/>
      <c r="F183" s="185"/>
      <c r="G183" s="185"/>
      <c r="H183" s="185"/>
      <c r="I183" s="185"/>
      <c r="J183" s="185"/>
      <c r="K183" s="185"/>
      <c r="L183" s="185"/>
      <c r="M183" s="185"/>
      <c r="N183" s="185"/>
      <c r="O183" s="11"/>
      <c r="P183" s="11"/>
      <c r="Q183" s="11"/>
      <c r="R183" s="11"/>
      <c r="S183" s="11"/>
      <c r="T183" s="11"/>
      <c r="U183" s="12"/>
      <c r="V183" s="46"/>
    </row>
    <row r="184" spans="1:23" ht="16.5">
      <c r="A184" s="46"/>
      <c r="B184" s="116" t="s">
        <v>361</v>
      </c>
      <c r="C184" s="117"/>
      <c r="D184" s="184"/>
      <c r="E184" s="185"/>
      <c r="F184" s="185"/>
      <c r="G184" s="185"/>
      <c r="H184" s="185"/>
      <c r="I184" s="185"/>
      <c r="J184" s="185"/>
      <c r="K184" s="185"/>
      <c r="L184" s="185"/>
      <c r="M184" s="185"/>
      <c r="N184" s="185"/>
      <c r="O184" s="11"/>
      <c r="P184" s="11"/>
      <c r="Q184" s="11"/>
      <c r="R184" s="11"/>
      <c r="S184" s="11"/>
      <c r="T184" s="11"/>
      <c r="U184" s="12"/>
      <c r="V184" s="46"/>
    </row>
    <row r="185" spans="1:23">
      <c r="A185" s="46"/>
      <c r="B185" s="116" t="s">
        <v>364</v>
      </c>
      <c r="C185" s="117"/>
      <c r="D185" s="184"/>
      <c r="E185" s="185"/>
      <c r="F185" s="185"/>
      <c r="G185" s="185"/>
      <c r="H185" s="185"/>
      <c r="I185" s="185"/>
      <c r="J185" s="185"/>
      <c r="K185" s="185"/>
      <c r="L185" s="185"/>
      <c r="M185" s="185"/>
      <c r="N185" s="185"/>
      <c r="O185" s="11"/>
      <c r="P185" s="11"/>
      <c r="Q185" s="11"/>
      <c r="R185" s="11"/>
      <c r="S185" s="11"/>
      <c r="T185" s="11"/>
      <c r="U185" s="12"/>
      <c r="V185" s="46"/>
    </row>
    <row r="186" spans="1:23">
      <c r="A186" s="46"/>
      <c r="B186" s="116" t="s">
        <v>362</v>
      </c>
      <c r="C186" s="117"/>
      <c r="D186" s="184"/>
      <c r="E186" s="185"/>
      <c r="F186" s="185"/>
      <c r="G186" s="185"/>
      <c r="H186" s="185"/>
      <c r="I186" s="185"/>
      <c r="J186" s="185"/>
      <c r="K186" s="185"/>
      <c r="L186" s="185"/>
      <c r="M186" s="185"/>
      <c r="N186" s="185"/>
      <c r="O186" s="11"/>
      <c r="P186" s="11"/>
      <c r="Q186" s="11"/>
      <c r="R186" s="11"/>
      <c r="S186" s="11"/>
      <c r="T186" s="11"/>
      <c r="U186" s="12"/>
      <c r="V186" s="46"/>
    </row>
    <row r="187" spans="1:23">
      <c r="A187" s="46"/>
      <c r="B187" s="188" t="s">
        <v>408</v>
      </c>
      <c r="C187" s="76"/>
      <c r="D187" s="66"/>
      <c r="E187" s="76"/>
      <c r="F187" s="11"/>
      <c r="G187" s="11"/>
      <c r="H187" s="11"/>
      <c r="I187" s="11"/>
      <c r="J187" s="11"/>
      <c r="K187" s="11"/>
      <c r="L187" s="11"/>
      <c r="M187" s="11"/>
      <c r="N187" s="11"/>
      <c r="O187" s="11"/>
      <c r="P187" s="11"/>
      <c r="Q187" s="11"/>
      <c r="R187" s="11"/>
      <c r="S187" s="11"/>
      <c r="T187" s="11"/>
      <c r="U187" s="12"/>
      <c r="V187" s="46"/>
    </row>
    <row r="188" spans="1:23">
      <c r="A188" s="46"/>
      <c r="B188" s="116"/>
      <c r="C188" s="76"/>
      <c r="D188" s="66"/>
      <c r="E188" s="76"/>
      <c r="F188" s="11"/>
      <c r="G188" s="11"/>
      <c r="H188" s="11"/>
      <c r="I188" s="11"/>
      <c r="J188" s="11"/>
      <c r="K188" s="11"/>
      <c r="L188" s="11"/>
      <c r="M188" s="11"/>
      <c r="N188" s="11"/>
      <c r="O188" s="11"/>
      <c r="P188" s="11"/>
      <c r="Q188" s="11"/>
      <c r="R188" s="11"/>
      <c r="S188" s="11"/>
      <c r="T188" s="11"/>
      <c r="U188" s="12"/>
      <c r="V188" s="46"/>
    </row>
    <row r="189" spans="1:23" ht="16.5">
      <c r="A189" s="46"/>
      <c r="B189" s="116" t="s">
        <v>900</v>
      </c>
      <c r="C189" s="76"/>
      <c r="D189" s="66"/>
      <c r="E189" s="76"/>
      <c r="F189" s="11"/>
      <c r="G189" s="11"/>
      <c r="H189" s="11"/>
      <c r="I189" s="11"/>
      <c r="J189" s="11"/>
      <c r="K189" s="11"/>
      <c r="L189" s="11"/>
      <c r="M189" s="11"/>
      <c r="N189" s="11"/>
      <c r="O189" s="11"/>
      <c r="P189" s="11"/>
      <c r="Q189" s="11"/>
      <c r="R189" s="11"/>
      <c r="S189" s="11"/>
      <c r="T189" s="11"/>
      <c r="U189" s="12"/>
      <c r="V189" s="46"/>
    </row>
    <row r="190" spans="1:23">
      <c r="A190" s="46"/>
      <c r="B190" s="116"/>
      <c r="C190" s="11"/>
      <c r="D190" s="66"/>
      <c r="E190" s="560" t="s">
        <v>425</v>
      </c>
      <c r="F190" s="449"/>
      <c r="G190" s="449"/>
      <c r="H190" s="450"/>
      <c r="I190" s="563" t="s">
        <v>426</v>
      </c>
      <c r="J190" s="444"/>
      <c r="K190" s="445"/>
      <c r="L190" s="568" t="s">
        <v>427</v>
      </c>
      <c r="M190" s="444"/>
      <c r="N190" s="444"/>
      <c r="O190" s="444"/>
      <c r="P190" s="445"/>
      <c r="Q190" s="11"/>
      <c r="R190" s="11"/>
      <c r="S190" s="11"/>
      <c r="T190" s="11"/>
      <c r="U190" s="12"/>
      <c r="V190" s="46"/>
    </row>
    <row r="191" spans="1:23" ht="15">
      <c r="A191" s="46"/>
      <c r="B191" s="116"/>
      <c r="C191" s="11"/>
      <c r="D191" s="66"/>
      <c r="E191" s="162" t="s">
        <v>431</v>
      </c>
      <c r="F191" s="125"/>
      <c r="G191" s="237">
        <f>E146</f>
        <v>79.999999461961451</v>
      </c>
      <c r="H191" s="238" t="s">
        <v>28</v>
      </c>
      <c r="I191" s="125"/>
      <c r="J191" s="239">
        <f>E152-30*LOG(296/80)</f>
        <v>80.88612776310562</v>
      </c>
      <c r="K191" s="212" t="s">
        <v>28</v>
      </c>
      <c r="L191" s="125" t="s">
        <v>432</v>
      </c>
      <c r="M191" s="125"/>
      <c r="N191" s="191"/>
      <c r="O191" s="125"/>
      <c r="P191" s="125"/>
      <c r="Q191" s="11"/>
      <c r="R191" s="11"/>
      <c r="S191" s="11"/>
      <c r="T191" s="11"/>
      <c r="U191" s="12"/>
      <c r="V191" s="46"/>
    </row>
    <row r="192" spans="1:23" ht="15">
      <c r="A192" s="46"/>
      <c r="B192" s="116"/>
      <c r="C192" s="11"/>
      <c r="D192" s="66"/>
      <c r="E192" s="162" t="s">
        <v>433</v>
      </c>
      <c r="F192" s="125"/>
      <c r="G192" s="237">
        <f>E149</f>
        <v>94.952266575647613</v>
      </c>
      <c r="H192" s="238" t="s">
        <v>28</v>
      </c>
      <c r="I192" s="125"/>
      <c r="J192" s="239">
        <f>E152-50*LOG(296/250)</f>
        <v>94.264594365770421</v>
      </c>
      <c r="K192" s="212" t="s">
        <v>28</v>
      </c>
      <c r="L192" s="125" t="s">
        <v>434</v>
      </c>
      <c r="M192" s="125"/>
      <c r="N192" s="191"/>
      <c r="O192" s="125"/>
      <c r="P192" s="125"/>
      <c r="Q192" s="11"/>
      <c r="R192" s="11"/>
      <c r="S192" s="11"/>
      <c r="T192" s="11"/>
      <c r="U192" s="12"/>
      <c r="V192" s="46"/>
    </row>
    <row r="193" spans="1:22">
      <c r="A193" s="46"/>
      <c r="B193" s="119"/>
      <c r="C193" s="18"/>
      <c r="D193" s="137"/>
      <c r="E193" s="120"/>
      <c r="F193" s="18"/>
      <c r="G193" s="18"/>
      <c r="H193" s="18"/>
      <c r="I193" s="18"/>
      <c r="J193" s="18"/>
      <c r="K193" s="18"/>
      <c r="L193" s="18"/>
      <c r="M193" s="18"/>
      <c r="N193" s="18"/>
      <c r="O193" s="18"/>
      <c r="P193" s="18"/>
      <c r="Q193" s="18"/>
      <c r="R193" s="18"/>
      <c r="S193" s="18"/>
      <c r="T193" s="18"/>
      <c r="U193" s="19"/>
      <c r="V193" s="46"/>
    </row>
    <row r="194" spans="1:22">
      <c r="A194" s="46"/>
      <c r="B194" s="20"/>
      <c r="D194" s="6"/>
      <c r="E194" s="20"/>
      <c r="V194" s="46"/>
    </row>
    <row r="195" spans="1:22">
      <c r="B195" s="20"/>
      <c r="D195" s="6"/>
      <c r="E195" s="20"/>
      <c r="V195" s="46"/>
    </row>
    <row r="196" spans="1:22">
      <c r="B196" s="20"/>
      <c r="C196" s="39"/>
      <c r="D196" s="6"/>
      <c r="E196" s="20"/>
      <c r="V196" s="46"/>
    </row>
    <row r="197" spans="1:22">
      <c r="D197" s="4"/>
    </row>
    <row r="198" spans="1:22">
      <c r="D198" s="4"/>
    </row>
    <row r="199" spans="1:22">
      <c r="D199" s="4"/>
    </row>
  </sheetData>
  <pageMargins left="0.7" right="0.7" top="0.75" bottom="0.75" header="0.3" footer="0.3"/>
  <pageSetup scale="45" fitToHeight="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327"/>
  <sheetViews>
    <sheetView zoomScale="110" zoomScaleNormal="110" workbookViewId="0">
      <selection activeCell="B8" sqref="B8:H8"/>
    </sheetView>
  </sheetViews>
  <sheetFormatPr defaultRowHeight="14.5"/>
  <cols>
    <col min="2" max="2" width="9.81640625" customWidth="1"/>
    <col min="13" max="13" width="9.81640625" bestFit="1" customWidth="1"/>
  </cols>
  <sheetData>
    <row r="1" spans="1:26">
      <c r="A1" s="7"/>
      <c r="B1" s="8"/>
      <c r="C1" s="8"/>
      <c r="D1" s="8"/>
      <c r="E1" s="8"/>
      <c r="F1" s="8"/>
      <c r="G1" s="8"/>
      <c r="H1" s="8"/>
      <c r="I1" s="8"/>
      <c r="J1" s="8"/>
      <c r="K1" s="8"/>
      <c r="L1" s="8"/>
      <c r="M1" s="8"/>
      <c r="N1" s="8"/>
      <c r="O1" s="9"/>
      <c r="P1" s="46"/>
      <c r="Q1" s="46"/>
      <c r="R1" s="46"/>
      <c r="S1" s="46"/>
      <c r="T1" s="46"/>
      <c r="U1" s="46"/>
      <c r="V1" s="46"/>
      <c r="W1" s="46"/>
      <c r="X1" s="46"/>
      <c r="Y1" s="46"/>
      <c r="Z1" s="46"/>
    </row>
    <row r="2" spans="1:26">
      <c r="A2" s="10"/>
      <c r="B2" s="11"/>
      <c r="C2" s="11"/>
      <c r="D2" s="11"/>
      <c r="E2" s="11"/>
      <c r="F2" s="11"/>
      <c r="G2" s="11"/>
      <c r="H2" s="11"/>
      <c r="I2" s="11"/>
      <c r="J2" s="11"/>
      <c r="K2" s="11"/>
      <c r="L2" s="11"/>
      <c r="M2" s="11"/>
      <c r="N2" s="11"/>
      <c r="O2" s="12"/>
      <c r="P2" s="46"/>
      <c r="Q2" s="46"/>
      <c r="R2" s="46"/>
      <c r="S2" s="46"/>
      <c r="T2" s="46"/>
      <c r="U2" s="46"/>
      <c r="V2" s="46"/>
      <c r="W2" s="46"/>
      <c r="X2" s="46"/>
      <c r="Y2" s="46"/>
      <c r="Z2" s="46"/>
    </row>
    <row r="3" spans="1:26" s="3" customFormat="1">
      <c r="A3" s="10"/>
      <c r="B3" s="11"/>
      <c r="C3" s="11"/>
      <c r="D3" s="11"/>
      <c r="E3" s="11"/>
      <c r="F3" s="11"/>
      <c r="G3" s="11"/>
      <c r="H3" s="11"/>
      <c r="I3" s="11"/>
      <c r="J3" s="11"/>
      <c r="K3" s="11"/>
      <c r="L3" s="11"/>
      <c r="M3" s="11"/>
      <c r="N3" s="11"/>
      <c r="O3" s="12"/>
      <c r="P3" s="46"/>
      <c r="Q3" s="46"/>
      <c r="R3" s="46"/>
      <c r="S3" s="46"/>
      <c r="T3" s="46"/>
      <c r="U3" s="46"/>
      <c r="V3" s="46"/>
      <c r="W3" s="46"/>
      <c r="X3" s="46"/>
      <c r="Y3" s="46"/>
      <c r="Z3" s="46"/>
    </row>
    <row r="4" spans="1:26" s="3" customFormat="1">
      <c r="A4" s="10"/>
      <c r="B4" s="11"/>
      <c r="C4" s="11"/>
      <c r="D4" s="11"/>
      <c r="E4" s="11"/>
      <c r="F4" s="11"/>
      <c r="G4" s="11"/>
      <c r="H4" s="11"/>
      <c r="I4" s="11"/>
      <c r="J4" s="11"/>
      <c r="K4" s="11"/>
      <c r="L4" s="11"/>
      <c r="M4" s="11"/>
      <c r="N4" s="11"/>
      <c r="O4" s="12"/>
      <c r="P4" s="46"/>
      <c r="Q4" s="46"/>
      <c r="R4" s="46"/>
      <c r="S4" s="46"/>
      <c r="T4" s="46"/>
      <c r="U4" s="46"/>
      <c r="V4" s="46"/>
      <c r="W4" s="46"/>
      <c r="X4" s="46"/>
      <c r="Y4" s="46"/>
      <c r="Z4" s="46"/>
    </row>
    <row r="5" spans="1:26" s="3" customFormat="1">
      <c r="A5" s="10"/>
      <c r="B5" s="11"/>
      <c r="C5" s="11"/>
      <c r="D5" s="11"/>
      <c r="E5" s="11"/>
      <c r="F5" s="11"/>
      <c r="G5" s="11"/>
      <c r="H5" s="11"/>
      <c r="I5" s="11"/>
      <c r="J5" s="11"/>
      <c r="K5" s="11"/>
      <c r="L5" s="11"/>
      <c r="M5" s="11"/>
      <c r="N5" s="11"/>
      <c r="O5" s="12"/>
      <c r="P5" s="46"/>
      <c r="Q5" s="46"/>
      <c r="R5" s="46"/>
      <c r="S5" s="46"/>
      <c r="T5" s="46"/>
      <c r="U5" s="46"/>
      <c r="V5" s="46"/>
      <c r="W5" s="46"/>
      <c r="X5" s="46"/>
      <c r="Y5" s="46"/>
      <c r="Z5" s="46"/>
    </row>
    <row r="6" spans="1:26">
      <c r="A6" s="10"/>
      <c r="B6" s="13" t="s">
        <v>0</v>
      </c>
      <c r="C6" s="11"/>
      <c r="D6" s="11"/>
      <c r="E6" s="11"/>
      <c r="F6" s="11"/>
      <c r="G6" s="11"/>
      <c r="H6" s="11"/>
      <c r="I6" s="11"/>
      <c r="J6" s="14" t="s">
        <v>5</v>
      </c>
      <c r="K6" s="15">
        <f>'Program Index &amp; Flow Chart'!F4</f>
        <v>7</v>
      </c>
      <c r="L6" s="11"/>
      <c r="M6" s="16">
        <f>'Program Index &amp; Flow Chart'!G4</f>
        <v>43752</v>
      </c>
      <c r="N6" s="11"/>
      <c r="O6" s="12"/>
      <c r="P6" s="46"/>
      <c r="Q6" s="46"/>
      <c r="R6" s="46"/>
      <c r="S6" s="46"/>
      <c r="T6" s="46"/>
      <c r="U6" s="46"/>
      <c r="V6" s="46"/>
      <c r="W6" s="46"/>
      <c r="X6" s="46"/>
      <c r="Y6" s="46"/>
      <c r="Z6" s="46"/>
    </row>
    <row r="7" spans="1:26">
      <c r="A7" s="10"/>
      <c r="B7" s="13" t="s">
        <v>1</v>
      </c>
      <c r="C7" s="11"/>
      <c r="D7" s="11"/>
      <c r="E7" s="11"/>
      <c r="F7" s="11"/>
      <c r="G7" s="11"/>
      <c r="H7" s="11"/>
      <c r="I7" s="11"/>
      <c r="J7" s="11"/>
      <c r="K7" s="11"/>
      <c r="L7" s="11"/>
      <c r="M7" s="11"/>
      <c r="N7" s="11"/>
      <c r="O7" s="12"/>
      <c r="P7" s="46"/>
      <c r="Q7" s="46"/>
      <c r="R7" s="46"/>
      <c r="S7" s="46"/>
      <c r="T7" s="46"/>
      <c r="U7" s="46"/>
      <c r="V7" s="46"/>
      <c r="W7" s="46"/>
      <c r="X7" s="46"/>
      <c r="Y7" s="46"/>
      <c r="Z7" s="46"/>
    </row>
    <row r="8" spans="1:26" s="40" customFormat="1">
      <c r="A8" s="10"/>
      <c r="B8" s="729" t="s">
        <v>559</v>
      </c>
      <c r="C8" s="730" t="s">
        <v>896</v>
      </c>
      <c r="D8" s="57"/>
      <c r="E8" s="11"/>
      <c r="F8" s="11"/>
      <c r="G8" s="11"/>
      <c r="H8" s="11"/>
      <c r="I8" s="11"/>
      <c r="J8" s="11"/>
      <c r="K8" s="11"/>
      <c r="L8" s="11"/>
      <c r="M8" s="11"/>
      <c r="N8" s="11"/>
      <c r="O8" s="12"/>
      <c r="P8" s="46"/>
      <c r="Q8" s="46"/>
      <c r="R8" s="46"/>
      <c r="S8" s="46"/>
      <c r="T8" s="46"/>
      <c r="U8" s="46"/>
      <c r="V8" s="46"/>
      <c r="W8" s="46"/>
      <c r="X8" s="46"/>
      <c r="Y8" s="46"/>
      <c r="Z8" s="46"/>
    </row>
    <row r="9" spans="1:26">
      <c r="A9" s="17"/>
      <c r="B9" s="18"/>
      <c r="C9" s="18"/>
      <c r="D9" s="18"/>
      <c r="E9" s="18"/>
      <c r="F9" s="18"/>
      <c r="G9" s="18"/>
      <c r="H9" s="18"/>
      <c r="I9" s="18"/>
      <c r="J9" s="18"/>
      <c r="K9" s="18"/>
      <c r="L9" s="18"/>
      <c r="M9" s="18"/>
      <c r="N9" s="18"/>
      <c r="O9" s="19"/>
      <c r="P9" s="46"/>
      <c r="Q9" s="46"/>
      <c r="R9" s="46"/>
      <c r="S9" s="46"/>
      <c r="T9" s="46"/>
      <c r="U9" s="46"/>
      <c r="V9" s="46"/>
      <c r="W9" s="46"/>
      <c r="X9" s="46"/>
      <c r="Y9" s="46"/>
      <c r="Z9" s="46"/>
    </row>
    <row r="10" spans="1:26" ht="20.149999999999999" customHeight="1">
      <c r="A10" s="7"/>
      <c r="B10" s="21" t="s">
        <v>55</v>
      </c>
      <c r="C10" s="21"/>
      <c r="D10" s="21"/>
      <c r="E10" s="21"/>
      <c r="F10" s="21"/>
      <c r="G10" s="21"/>
      <c r="H10" s="21"/>
      <c r="I10" s="21"/>
      <c r="J10" s="8"/>
      <c r="K10" s="8"/>
      <c r="L10" s="8"/>
      <c r="M10" s="8"/>
      <c r="N10" s="8"/>
      <c r="O10" s="9"/>
      <c r="P10" s="46"/>
      <c r="Q10" s="46"/>
      <c r="R10" s="46"/>
      <c r="S10" s="46"/>
      <c r="T10" s="46"/>
      <c r="U10" s="46"/>
      <c r="V10" s="46"/>
      <c r="W10" s="46"/>
      <c r="X10" s="46"/>
      <c r="Y10" s="46"/>
      <c r="Z10" s="46"/>
    </row>
    <row r="11" spans="1:26" ht="20.149999999999999" customHeight="1">
      <c r="A11" s="17"/>
      <c r="B11" s="22" t="s">
        <v>56</v>
      </c>
      <c r="C11" s="22"/>
      <c r="D11" s="22"/>
      <c r="E11" s="22"/>
      <c r="F11" s="22"/>
      <c r="G11" s="22"/>
      <c r="H11" s="22"/>
      <c r="I11" s="22"/>
      <c r="J11" s="18"/>
      <c r="K11" s="18"/>
      <c r="L11" s="18"/>
      <c r="M11" s="18"/>
      <c r="N11" s="18"/>
      <c r="O11" s="19"/>
      <c r="P11" s="46"/>
      <c r="Q11" s="46"/>
      <c r="R11" s="46"/>
      <c r="S11" s="46"/>
      <c r="T11" s="46"/>
      <c r="U11" s="46"/>
      <c r="V11" s="46"/>
      <c r="W11" s="46"/>
      <c r="X11" s="46"/>
      <c r="Y11" s="46"/>
      <c r="Z11" s="46"/>
    </row>
    <row r="12" spans="1:26" ht="4.5" customHeight="1">
      <c r="A12" s="28"/>
      <c r="B12" s="29"/>
      <c r="C12" s="29"/>
      <c r="D12" s="29"/>
      <c r="E12" s="29"/>
      <c r="F12" s="29"/>
      <c r="G12" s="29"/>
      <c r="H12" s="29"/>
      <c r="I12" s="29"/>
      <c r="J12" s="29"/>
      <c r="K12" s="29"/>
      <c r="L12" s="29"/>
      <c r="M12" s="29"/>
      <c r="N12" s="29"/>
      <c r="O12" s="30"/>
      <c r="P12" s="46"/>
      <c r="Q12" s="46"/>
      <c r="R12" s="46"/>
      <c r="S12" s="46"/>
      <c r="T12" s="46"/>
      <c r="U12" s="46"/>
      <c r="V12" s="46"/>
      <c r="W12" s="46"/>
      <c r="X12" s="46"/>
      <c r="Y12" s="46"/>
      <c r="Z12" s="46"/>
    </row>
    <row r="13" spans="1:26">
      <c r="A13" s="31"/>
      <c r="B13" s="32" t="s">
        <v>3</v>
      </c>
      <c r="C13" s="32"/>
      <c r="D13" s="32"/>
      <c r="E13" s="32"/>
      <c r="F13" s="32"/>
      <c r="G13" s="32"/>
      <c r="H13" s="32"/>
      <c r="I13" s="32"/>
      <c r="J13" s="32"/>
      <c r="K13" s="32"/>
      <c r="L13" s="32"/>
      <c r="M13" s="32"/>
      <c r="N13" s="32"/>
      <c r="O13" s="33"/>
      <c r="P13" s="46"/>
      <c r="Q13" s="46"/>
      <c r="R13" s="46"/>
      <c r="S13" s="46"/>
      <c r="T13" s="46"/>
      <c r="U13" s="46"/>
      <c r="V13" s="46"/>
      <c r="W13" s="46"/>
      <c r="X13" s="46"/>
      <c r="Y13" s="46"/>
      <c r="Z13" s="46"/>
    </row>
    <row r="14" spans="1:26" ht="3" customHeight="1">
      <c r="A14" s="34"/>
      <c r="B14" s="35"/>
      <c r="C14" s="35"/>
      <c r="D14" s="35"/>
      <c r="E14" s="35"/>
      <c r="F14" s="35"/>
      <c r="G14" s="35"/>
      <c r="H14" s="35"/>
      <c r="I14" s="35"/>
      <c r="J14" s="35"/>
      <c r="K14" s="35"/>
      <c r="L14" s="35"/>
      <c r="M14" s="35"/>
      <c r="N14" s="35"/>
      <c r="O14" s="36"/>
      <c r="P14" s="46"/>
      <c r="Q14" s="46"/>
      <c r="R14" s="46"/>
      <c r="S14" s="46"/>
      <c r="T14" s="46"/>
      <c r="U14" s="46"/>
      <c r="V14" s="46"/>
      <c r="W14" s="46"/>
      <c r="X14" s="46"/>
      <c r="Y14" s="46"/>
      <c r="Z14" s="46"/>
    </row>
    <row r="15" spans="1:26">
      <c r="A15" s="7"/>
      <c r="B15" s="8" t="s">
        <v>850</v>
      </c>
      <c r="C15" s="8"/>
      <c r="D15" s="8"/>
      <c r="E15" s="8"/>
      <c r="F15" s="8"/>
      <c r="G15" s="8"/>
      <c r="H15" s="8"/>
      <c r="I15" s="8"/>
      <c r="J15" s="8"/>
      <c r="K15" s="8"/>
      <c r="L15" s="8"/>
      <c r="M15" s="8"/>
      <c r="N15" s="8"/>
      <c r="O15" s="9"/>
      <c r="P15" s="46"/>
      <c r="Q15" s="46"/>
      <c r="R15" s="46"/>
      <c r="S15" s="46"/>
      <c r="T15" s="46"/>
      <c r="U15" s="46"/>
      <c r="V15" s="46"/>
      <c r="W15" s="46"/>
      <c r="X15" s="46"/>
      <c r="Y15" s="46"/>
      <c r="Z15" s="46"/>
    </row>
    <row r="16" spans="1:26" s="3" customFormat="1">
      <c r="A16" s="10"/>
      <c r="B16" s="11" t="s">
        <v>48</v>
      </c>
      <c r="C16" s="11"/>
      <c r="D16" s="11"/>
      <c r="E16" s="11"/>
      <c r="F16" s="11"/>
      <c r="G16" s="11"/>
      <c r="H16" s="11"/>
      <c r="I16" s="11"/>
      <c r="J16" s="11"/>
      <c r="K16" s="11"/>
      <c r="L16" s="11"/>
      <c r="M16" s="11"/>
      <c r="N16" s="11"/>
      <c r="O16" s="12"/>
      <c r="P16" s="46"/>
      <c r="Q16" s="46"/>
      <c r="R16" s="46"/>
      <c r="S16" s="46"/>
      <c r="T16" s="46"/>
      <c r="U16" s="46"/>
      <c r="V16" s="46"/>
      <c r="W16" s="46"/>
      <c r="X16" s="46"/>
      <c r="Y16" s="46"/>
      <c r="Z16" s="46"/>
    </row>
    <row r="17" spans="1:26" s="3" customFormat="1">
      <c r="A17" s="10"/>
      <c r="B17" s="11" t="s">
        <v>49</v>
      </c>
      <c r="C17" s="11"/>
      <c r="D17" s="11"/>
      <c r="E17" s="11"/>
      <c r="F17" s="11"/>
      <c r="G17" s="11"/>
      <c r="H17" s="11"/>
      <c r="I17" s="11"/>
      <c r="J17" s="11"/>
      <c r="K17" s="11"/>
      <c r="L17" s="11"/>
      <c r="M17" s="11"/>
      <c r="N17" s="11"/>
      <c r="O17" s="12"/>
      <c r="P17" s="46"/>
      <c r="Q17" s="46"/>
      <c r="R17" s="46"/>
      <c r="S17" s="46"/>
      <c r="T17" s="46"/>
      <c r="U17" s="46"/>
      <c r="V17" s="46"/>
      <c r="W17" s="46"/>
      <c r="X17" s="46"/>
      <c r="Y17" s="46"/>
      <c r="Z17" s="46"/>
    </row>
    <row r="18" spans="1:26" s="3" customFormat="1">
      <c r="A18" s="10"/>
      <c r="B18" s="11" t="s">
        <v>51</v>
      </c>
      <c r="C18" s="11"/>
      <c r="D18" s="11"/>
      <c r="E18" s="11"/>
      <c r="F18" s="11"/>
      <c r="G18" s="11"/>
      <c r="H18" s="11"/>
      <c r="I18" s="11"/>
      <c r="J18" s="11"/>
      <c r="K18" s="11"/>
      <c r="L18" s="11"/>
      <c r="M18" s="11"/>
      <c r="N18" s="11"/>
      <c r="O18" s="12"/>
      <c r="P18" s="46"/>
      <c r="Q18" s="46"/>
      <c r="R18" s="46"/>
      <c r="S18" s="46"/>
      <c r="T18" s="46"/>
      <c r="U18" s="46"/>
      <c r="V18" s="46"/>
      <c r="W18" s="46"/>
      <c r="X18" s="46"/>
      <c r="Y18" s="46"/>
      <c r="Z18" s="46"/>
    </row>
    <row r="19" spans="1:26" s="3" customFormat="1">
      <c r="A19" s="10"/>
      <c r="B19" s="11" t="s">
        <v>50</v>
      </c>
      <c r="C19" s="11"/>
      <c r="D19" s="11"/>
      <c r="E19" s="11"/>
      <c r="F19" s="11"/>
      <c r="G19" s="11"/>
      <c r="H19" s="11"/>
      <c r="I19" s="11"/>
      <c r="J19" s="11"/>
      <c r="K19" s="11"/>
      <c r="L19" s="11"/>
      <c r="M19" s="11"/>
      <c r="N19" s="11"/>
      <c r="O19" s="12"/>
      <c r="P19" s="46"/>
      <c r="Q19" s="46"/>
      <c r="R19" s="46"/>
      <c r="S19" s="46"/>
      <c r="T19" s="46"/>
      <c r="U19" s="46"/>
      <c r="V19" s="46"/>
      <c r="W19" s="46"/>
      <c r="X19" s="46"/>
      <c r="Y19" s="46"/>
      <c r="Z19" s="46"/>
    </row>
    <row r="20" spans="1:26" s="3" customFormat="1">
      <c r="A20" s="10"/>
      <c r="B20" s="11"/>
      <c r="C20" s="11" t="s">
        <v>477</v>
      </c>
      <c r="D20" s="11"/>
      <c r="E20" s="11"/>
      <c r="F20" s="11"/>
      <c r="G20" s="11"/>
      <c r="H20" s="11"/>
      <c r="I20" s="11"/>
      <c r="J20" s="11"/>
      <c r="K20" s="11"/>
      <c r="L20" s="11"/>
      <c r="M20" s="11"/>
      <c r="N20" s="11"/>
      <c r="O20" s="12"/>
      <c r="P20" s="46"/>
      <c r="Q20" s="46"/>
      <c r="R20" s="46"/>
      <c r="S20" s="46"/>
      <c r="T20" s="46"/>
      <c r="U20" s="46"/>
      <c r="V20" s="46"/>
      <c r="W20" s="46"/>
      <c r="X20" s="46"/>
      <c r="Y20" s="46"/>
      <c r="Z20" s="46"/>
    </row>
    <row r="21" spans="1:26" s="3" customFormat="1">
      <c r="A21" s="10"/>
      <c r="B21" s="11"/>
      <c r="C21" s="11"/>
      <c r="D21" s="11" t="s">
        <v>851</v>
      </c>
      <c r="E21" s="11"/>
      <c r="F21" s="11"/>
      <c r="G21" s="11"/>
      <c r="H21" s="11"/>
      <c r="I21" s="11"/>
      <c r="J21" s="11"/>
      <c r="K21" s="11"/>
      <c r="L21" s="11"/>
      <c r="M21" s="11"/>
      <c r="N21" s="11"/>
      <c r="O21" s="12"/>
      <c r="P21" s="46"/>
      <c r="Q21" s="46"/>
      <c r="R21" s="46"/>
      <c r="S21" s="46"/>
      <c r="T21" s="46"/>
      <c r="U21" s="46"/>
      <c r="V21" s="46"/>
      <c r="W21" s="46"/>
      <c r="X21" s="46"/>
      <c r="Y21" s="46"/>
      <c r="Z21" s="46"/>
    </row>
    <row r="22" spans="1:26" s="3" customFormat="1">
      <c r="A22" s="10"/>
      <c r="B22" s="11"/>
      <c r="C22" s="11"/>
      <c r="D22" s="11" t="s">
        <v>54</v>
      </c>
      <c r="E22" s="11"/>
      <c r="F22" s="11"/>
      <c r="G22" s="11"/>
      <c r="H22" s="11"/>
      <c r="I22" s="11"/>
      <c r="J22" s="11"/>
      <c r="K22" s="11"/>
      <c r="L22" s="11"/>
      <c r="M22" s="11"/>
      <c r="N22" s="11"/>
      <c r="O22" s="12"/>
      <c r="P22" s="46"/>
      <c r="Q22" s="46"/>
      <c r="R22" s="46"/>
      <c r="S22" s="46"/>
      <c r="T22" s="46"/>
      <c r="U22" s="46"/>
      <c r="V22" s="46"/>
      <c r="W22" s="46"/>
      <c r="X22" s="46"/>
      <c r="Y22" s="46"/>
      <c r="Z22" s="46"/>
    </row>
    <row r="23" spans="1:26" s="3" customFormat="1" ht="16.5">
      <c r="A23" s="10"/>
      <c r="B23" s="11"/>
      <c r="C23" s="11"/>
      <c r="D23" s="11" t="s">
        <v>119</v>
      </c>
      <c r="E23" s="11"/>
      <c r="F23" s="11"/>
      <c r="G23" s="11"/>
      <c r="H23" s="11"/>
      <c r="I23" s="11"/>
      <c r="J23" s="11"/>
      <c r="K23" s="11"/>
      <c r="L23" s="11"/>
      <c r="M23" s="11"/>
      <c r="N23" s="11"/>
      <c r="O23" s="12"/>
      <c r="P23" s="46"/>
      <c r="Q23" s="46"/>
      <c r="R23" s="46"/>
      <c r="S23" s="46"/>
      <c r="T23" s="46"/>
      <c r="U23" s="46"/>
      <c r="V23" s="46"/>
      <c r="W23" s="46"/>
      <c r="X23" s="46"/>
      <c r="Y23" s="46"/>
      <c r="Z23" s="46"/>
    </row>
    <row r="24" spans="1:26" s="3" customFormat="1">
      <c r="A24" s="10"/>
      <c r="B24" s="11"/>
      <c r="C24" s="11"/>
      <c r="D24" s="11" t="s">
        <v>52</v>
      </c>
      <c r="E24" s="11"/>
      <c r="F24" s="11"/>
      <c r="G24" s="11"/>
      <c r="H24" s="11"/>
      <c r="I24" s="11"/>
      <c r="J24" s="11"/>
      <c r="K24" s="11"/>
      <c r="L24" s="11"/>
      <c r="M24" s="11"/>
      <c r="N24" s="11"/>
      <c r="O24" s="12"/>
      <c r="P24" s="46"/>
      <c r="Q24" s="46"/>
      <c r="R24" s="46"/>
      <c r="S24" s="46"/>
      <c r="T24" s="46"/>
      <c r="U24" s="46"/>
      <c r="V24" s="46"/>
      <c r="W24" s="46"/>
      <c r="X24" s="46"/>
      <c r="Y24" s="46"/>
      <c r="Z24" s="46"/>
    </row>
    <row r="25" spans="1:26" s="3" customFormat="1">
      <c r="A25" s="10"/>
      <c r="B25" s="11"/>
      <c r="C25" s="11"/>
      <c r="D25" s="11" t="s">
        <v>53</v>
      </c>
      <c r="E25" s="11"/>
      <c r="F25" s="11"/>
      <c r="G25" s="11"/>
      <c r="H25" s="11"/>
      <c r="I25" s="11"/>
      <c r="J25" s="11"/>
      <c r="K25" s="11"/>
      <c r="L25" s="11"/>
      <c r="M25" s="11"/>
      <c r="N25" s="11"/>
      <c r="O25" s="12"/>
      <c r="P25" s="46"/>
      <c r="Q25" s="46"/>
      <c r="R25" s="46"/>
      <c r="S25" s="46"/>
      <c r="T25" s="46"/>
      <c r="U25" s="46"/>
      <c r="V25" s="46"/>
      <c r="W25" s="46"/>
      <c r="X25" s="46"/>
      <c r="Y25" s="46"/>
      <c r="Z25" s="46"/>
    </row>
    <row r="26" spans="1:26" s="3" customFormat="1">
      <c r="A26" s="10"/>
      <c r="B26" s="11"/>
      <c r="C26" s="11" t="s">
        <v>682</v>
      </c>
      <c r="D26" s="11"/>
      <c r="E26" s="11"/>
      <c r="F26" s="11"/>
      <c r="G26" s="11"/>
      <c r="H26" s="11"/>
      <c r="I26" s="11"/>
      <c r="J26" s="11"/>
      <c r="K26" s="11"/>
      <c r="L26" s="11"/>
      <c r="M26" s="11"/>
      <c r="N26" s="11"/>
      <c r="O26" s="12"/>
      <c r="P26" s="46"/>
      <c r="Q26" s="46"/>
      <c r="R26" s="46"/>
      <c r="S26" s="46"/>
      <c r="T26" s="46"/>
      <c r="U26" s="46"/>
      <c r="V26" s="46"/>
      <c r="W26" s="46"/>
      <c r="X26" s="46"/>
      <c r="Y26" s="46"/>
      <c r="Z26" s="46"/>
    </row>
    <row r="27" spans="1:26" s="3" customFormat="1">
      <c r="A27" s="10"/>
      <c r="B27" s="11"/>
      <c r="C27" s="11"/>
      <c r="D27" s="11" t="s">
        <v>852</v>
      </c>
      <c r="E27" s="11"/>
      <c r="F27" s="11"/>
      <c r="G27" s="11"/>
      <c r="H27" s="11"/>
      <c r="I27" s="11"/>
      <c r="J27" s="11"/>
      <c r="K27" s="11"/>
      <c r="L27" s="11"/>
      <c r="M27" s="11"/>
      <c r="N27" s="11"/>
      <c r="O27" s="12"/>
      <c r="P27" s="46"/>
      <c r="Q27" s="46"/>
      <c r="R27" s="46"/>
      <c r="S27" s="46"/>
      <c r="T27" s="46"/>
      <c r="U27" s="46"/>
      <c r="V27" s="46"/>
      <c r="W27" s="46"/>
      <c r="X27" s="46"/>
      <c r="Y27" s="46"/>
      <c r="Z27" s="46"/>
    </row>
    <row r="28" spans="1:26" s="3" customFormat="1">
      <c r="A28" s="10"/>
      <c r="B28" s="11"/>
      <c r="C28" s="11"/>
      <c r="D28" s="11" t="s">
        <v>54</v>
      </c>
      <c r="E28" s="11"/>
      <c r="F28" s="11"/>
      <c r="G28" s="11"/>
      <c r="H28" s="11"/>
      <c r="I28" s="11"/>
      <c r="J28" s="11"/>
      <c r="K28" s="11"/>
      <c r="L28" s="11"/>
      <c r="M28" s="11"/>
      <c r="N28" s="11"/>
      <c r="O28" s="12"/>
      <c r="P28" s="46"/>
      <c r="Q28" s="46"/>
      <c r="R28" s="46"/>
      <c r="S28" s="46"/>
      <c r="T28" s="46"/>
      <c r="U28" s="46"/>
      <c r="V28" s="46"/>
      <c r="W28" s="46"/>
      <c r="X28" s="46"/>
      <c r="Y28" s="46"/>
      <c r="Z28" s="46"/>
    </row>
    <row r="29" spans="1:26" s="3" customFormat="1" ht="16.5">
      <c r="A29" s="10"/>
      <c r="B29" s="11"/>
      <c r="C29" s="11"/>
      <c r="D29" s="11" t="s">
        <v>60</v>
      </c>
      <c r="E29" s="11"/>
      <c r="F29" s="11"/>
      <c r="G29" s="11"/>
      <c r="H29" s="11"/>
      <c r="I29" s="11"/>
      <c r="J29" s="11"/>
      <c r="K29" s="11"/>
      <c r="L29" s="11"/>
      <c r="M29" s="11"/>
      <c r="N29" s="11"/>
      <c r="O29" s="12"/>
      <c r="P29" s="46"/>
      <c r="Q29" s="46"/>
      <c r="R29" s="46"/>
      <c r="S29" s="46"/>
      <c r="T29" s="46"/>
      <c r="U29" s="46"/>
      <c r="V29" s="46"/>
      <c r="W29" s="46"/>
      <c r="X29" s="46"/>
      <c r="Y29" s="46"/>
      <c r="Z29" s="46"/>
    </row>
    <row r="30" spans="1:26" s="3" customFormat="1">
      <c r="A30" s="10"/>
      <c r="B30" s="11"/>
      <c r="C30" s="11"/>
      <c r="D30" s="11" t="s">
        <v>58</v>
      </c>
      <c r="E30" s="11"/>
      <c r="F30" s="11"/>
      <c r="G30" s="11"/>
      <c r="H30" s="11"/>
      <c r="I30" s="11"/>
      <c r="J30" s="11"/>
      <c r="K30" s="11"/>
      <c r="L30" s="11"/>
      <c r="M30" s="11"/>
      <c r="N30" s="11"/>
      <c r="O30" s="12"/>
      <c r="P30" s="46"/>
      <c r="Q30" s="46"/>
      <c r="R30" s="46"/>
      <c r="S30" s="46"/>
      <c r="T30" s="46"/>
      <c r="U30" s="46"/>
      <c r="V30" s="46"/>
      <c r="W30" s="46"/>
      <c r="X30" s="46"/>
      <c r="Y30" s="46"/>
      <c r="Z30" s="46"/>
    </row>
    <row r="31" spans="1:26" s="3" customFormat="1">
      <c r="A31" s="10"/>
      <c r="B31" s="11"/>
      <c r="C31" s="11"/>
      <c r="D31" s="11" t="s">
        <v>61</v>
      </c>
      <c r="E31" s="11"/>
      <c r="F31" s="11"/>
      <c r="G31" s="11"/>
      <c r="H31" s="11"/>
      <c r="I31" s="11"/>
      <c r="J31" s="11"/>
      <c r="K31" s="11"/>
      <c r="L31" s="11"/>
      <c r="M31" s="11"/>
      <c r="N31" s="11"/>
      <c r="O31" s="12"/>
      <c r="P31" s="46"/>
      <c r="Q31" s="46"/>
      <c r="R31" s="46"/>
      <c r="S31" s="46"/>
      <c r="T31" s="46"/>
      <c r="U31" s="46"/>
      <c r="V31" s="46"/>
      <c r="W31" s="46"/>
      <c r="X31" s="46"/>
      <c r="Y31" s="46"/>
      <c r="Z31" s="46"/>
    </row>
    <row r="32" spans="1:26" s="3" customFormat="1">
      <c r="A32" s="10"/>
      <c r="B32" s="11"/>
      <c r="C32" s="11" t="s">
        <v>853</v>
      </c>
      <c r="D32" s="11"/>
      <c r="E32" s="11"/>
      <c r="F32" s="11"/>
      <c r="G32" s="11"/>
      <c r="H32" s="11"/>
      <c r="I32" s="11"/>
      <c r="J32" s="11"/>
      <c r="K32" s="11"/>
      <c r="L32" s="11"/>
      <c r="M32" s="11"/>
      <c r="N32" s="11"/>
      <c r="O32" s="12"/>
      <c r="P32" s="46"/>
      <c r="Q32" s="46"/>
      <c r="R32" s="46"/>
      <c r="S32" s="46"/>
      <c r="T32" s="46"/>
      <c r="U32" s="46"/>
      <c r="V32" s="46"/>
      <c r="W32" s="46"/>
      <c r="X32" s="46"/>
      <c r="Y32" s="46"/>
      <c r="Z32" s="46"/>
    </row>
    <row r="33" spans="1:26" s="3" customFormat="1">
      <c r="A33" s="10"/>
      <c r="B33" s="11"/>
      <c r="C33" s="11"/>
      <c r="D33" s="11" t="s">
        <v>46</v>
      </c>
      <c r="E33" s="11"/>
      <c r="F33" s="11"/>
      <c r="G33" s="11"/>
      <c r="H33" s="11"/>
      <c r="I33" s="11"/>
      <c r="J33" s="11"/>
      <c r="K33" s="11"/>
      <c r="L33" s="11"/>
      <c r="M33" s="11"/>
      <c r="N33" s="11"/>
      <c r="O33" s="12"/>
      <c r="P33" s="46"/>
      <c r="Q33" s="46"/>
      <c r="R33" s="46"/>
      <c r="S33" s="46"/>
      <c r="T33" s="46"/>
      <c r="U33" s="46"/>
      <c r="V33" s="46"/>
      <c r="W33" s="46"/>
      <c r="X33" s="46"/>
      <c r="Y33" s="46"/>
      <c r="Z33" s="46"/>
    </row>
    <row r="34" spans="1:26" s="3" customFormat="1">
      <c r="A34" s="10"/>
      <c r="B34" s="11"/>
      <c r="C34" s="11"/>
      <c r="D34" s="11" t="s">
        <v>59</v>
      </c>
      <c r="E34" s="11"/>
      <c r="F34" s="11"/>
      <c r="G34" s="11"/>
      <c r="H34" s="11"/>
      <c r="I34" s="11"/>
      <c r="J34" s="11"/>
      <c r="K34" s="11"/>
      <c r="L34" s="11"/>
      <c r="M34" s="11"/>
      <c r="N34" s="11"/>
      <c r="O34" s="12"/>
      <c r="P34" s="46"/>
      <c r="Q34" s="46"/>
      <c r="R34" s="46"/>
      <c r="S34" s="46"/>
      <c r="T34" s="46"/>
      <c r="U34" s="46"/>
      <c r="V34" s="46"/>
      <c r="W34" s="46"/>
      <c r="X34" s="46"/>
      <c r="Y34" s="46"/>
      <c r="Z34" s="46"/>
    </row>
    <row r="35" spans="1:26" s="3" customFormat="1" ht="16.5">
      <c r="A35" s="10"/>
      <c r="B35" s="11"/>
      <c r="C35" s="11"/>
      <c r="D35" s="11" t="s">
        <v>601</v>
      </c>
      <c r="E35" s="11"/>
      <c r="F35" s="11"/>
      <c r="G35" s="11"/>
      <c r="H35" s="11"/>
      <c r="I35" s="11"/>
      <c r="J35" s="11"/>
      <c r="K35" s="11"/>
      <c r="L35" s="11"/>
      <c r="M35" s="11"/>
      <c r="N35" s="11"/>
      <c r="O35" s="12"/>
      <c r="P35" s="46"/>
      <c r="Q35" s="46"/>
      <c r="R35" s="46"/>
      <c r="S35" s="46"/>
      <c r="T35" s="46"/>
      <c r="U35" s="46"/>
      <c r="V35" s="46"/>
      <c r="W35" s="46"/>
      <c r="X35" s="46"/>
      <c r="Y35" s="46"/>
      <c r="Z35" s="46"/>
    </row>
    <row r="36" spans="1:26" s="3" customFormat="1">
      <c r="A36" s="10"/>
      <c r="B36" s="11"/>
      <c r="C36" s="11"/>
      <c r="D36" s="11" t="s">
        <v>47</v>
      </c>
      <c r="E36" s="11"/>
      <c r="F36" s="11"/>
      <c r="G36" s="11"/>
      <c r="H36" s="11"/>
      <c r="I36" s="11"/>
      <c r="J36" s="11"/>
      <c r="K36" s="11"/>
      <c r="L36" s="11"/>
      <c r="M36" s="11"/>
      <c r="N36" s="11"/>
      <c r="O36" s="12"/>
      <c r="P36" s="46"/>
      <c r="Q36" s="46"/>
      <c r="R36" s="46"/>
      <c r="S36" s="46"/>
      <c r="T36" s="46"/>
      <c r="U36" s="46"/>
      <c r="V36" s="46"/>
      <c r="W36" s="46"/>
      <c r="X36" s="46"/>
      <c r="Y36" s="46"/>
      <c r="Z36" s="46"/>
    </row>
    <row r="37" spans="1:26" s="3" customFormat="1">
      <c r="A37" s="10"/>
      <c r="B37" s="11"/>
      <c r="C37" s="11" t="s">
        <v>683</v>
      </c>
      <c r="D37" s="11"/>
      <c r="E37" s="11"/>
      <c r="F37" s="11"/>
      <c r="G37" s="11"/>
      <c r="H37" s="11"/>
      <c r="I37" s="11"/>
      <c r="J37" s="11"/>
      <c r="K37" s="11"/>
      <c r="L37" s="11"/>
      <c r="M37" s="11"/>
      <c r="N37" s="11"/>
      <c r="O37" s="12"/>
      <c r="P37" s="46"/>
      <c r="Q37" s="46"/>
      <c r="R37" s="46"/>
      <c r="S37" s="46"/>
      <c r="T37" s="46"/>
      <c r="U37" s="46"/>
      <c r="V37" s="46"/>
      <c r="W37" s="46"/>
      <c r="X37" s="46"/>
      <c r="Y37" s="46"/>
      <c r="Z37" s="46"/>
    </row>
    <row r="38" spans="1:26" s="3" customFormat="1">
      <c r="A38" s="10"/>
      <c r="B38" s="11"/>
      <c r="C38" s="11"/>
      <c r="D38" s="11" t="s">
        <v>45</v>
      </c>
      <c r="E38" s="11"/>
      <c r="F38" s="11"/>
      <c r="G38" s="11"/>
      <c r="H38" s="11"/>
      <c r="I38" s="11"/>
      <c r="J38" s="11"/>
      <c r="K38" s="11"/>
      <c r="L38" s="11"/>
      <c r="M38" s="11"/>
      <c r="N38" s="11"/>
      <c r="O38" s="12"/>
      <c r="P38" s="46"/>
      <c r="Q38" s="46"/>
      <c r="R38" s="46"/>
      <c r="S38" s="46"/>
      <c r="T38" s="46"/>
      <c r="U38" s="46"/>
      <c r="V38" s="46"/>
      <c r="W38" s="46"/>
      <c r="X38" s="46"/>
      <c r="Y38" s="46"/>
      <c r="Z38" s="46"/>
    </row>
    <row r="39" spans="1:26" s="3" customFormat="1">
      <c r="A39" s="10"/>
      <c r="B39" s="11"/>
      <c r="C39" s="11"/>
      <c r="D39" s="11" t="s">
        <v>62</v>
      </c>
      <c r="E39" s="11"/>
      <c r="F39" s="11"/>
      <c r="G39" s="11"/>
      <c r="H39" s="11"/>
      <c r="I39" s="11"/>
      <c r="J39" s="11"/>
      <c r="K39" s="11"/>
      <c r="L39" s="11"/>
      <c r="M39" s="11"/>
      <c r="N39" s="11"/>
      <c r="O39" s="12"/>
      <c r="P39" s="46"/>
      <c r="Q39" s="46"/>
      <c r="R39" s="46"/>
      <c r="S39" s="46"/>
      <c r="T39" s="46"/>
      <c r="U39" s="46"/>
      <c r="V39" s="46"/>
      <c r="W39" s="46"/>
      <c r="X39" s="46"/>
      <c r="Y39" s="46"/>
      <c r="Z39" s="46"/>
    </row>
    <row r="40" spans="1:26" s="3" customFormat="1">
      <c r="A40" s="10"/>
      <c r="B40" s="11"/>
      <c r="C40" s="11"/>
      <c r="D40" s="11" t="s">
        <v>854</v>
      </c>
      <c r="E40" s="11"/>
      <c r="F40" s="11"/>
      <c r="G40" s="11"/>
      <c r="H40" s="11"/>
      <c r="I40" s="11"/>
      <c r="J40" s="11"/>
      <c r="K40" s="11"/>
      <c r="L40" s="11"/>
      <c r="M40" s="11"/>
      <c r="N40" s="11"/>
      <c r="O40" s="12"/>
      <c r="P40" s="46"/>
      <c r="Q40" s="46"/>
      <c r="R40" s="46"/>
      <c r="S40" s="46"/>
      <c r="T40" s="46"/>
      <c r="U40" s="46"/>
      <c r="V40" s="46"/>
      <c r="W40" s="46"/>
      <c r="X40" s="46"/>
      <c r="Y40" s="46"/>
      <c r="Z40" s="46"/>
    </row>
    <row r="41" spans="1:26" s="3" customFormat="1">
      <c r="A41" s="17"/>
      <c r="B41" s="18"/>
      <c r="C41" s="18"/>
      <c r="D41" s="18" t="s">
        <v>855</v>
      </c>
      <c r="E41" s="18"/>
      <c r="F41" s="18"/>
      <c r="G41" s="18"/>
      <c r="H41" s="18"/>
      <c r="I41" s="18"/>
      <c r="J41" s="18"/>
      <c r="K41" s="18"/>
      <c r="L41" s="18"/>
      <c r="M41" s="18"/>
      <c r="N41" s="18"/>
      <c r="O41" s="19"/>
      <c r="P41" s="46"/>
      <c r="Q41" s="46"/>
      <c r="R41" s="46"/>
      <c r="S41" s="46"/>
      <c r="T41" s="46"/>
      <c r="U41" s="46"/>
      <c r="V41" s="46"/>
      <c r="W41" s="46"/>
      <c r="X41" s="46"/>
      <c r="Y41" s="46"/>
      <c r="Z41" s="46"/>
    </row>
    <row r="42" spans="1:26" s="3" customForma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c r="A43" s="7"/>
      <c r="B43" s="8" t="s">
        <v>856</v>
      </c>
      <c r="C43" s="8"/>
      <c r="D43" s="8"/>
      <c r="E43" s="8"/>
      <c r="F43" s="8"/>
      <c r="G43" s="8"/>
      <c r="H43" s="8"/>
      <c r="I43" s="8"/>
      <c r="J43" s="8"/>
      <c r="K43" s="8"/>
      <c r="L43" s="8"/>
      <c r="M43" s="8"/>
      <c r="N43" s="8"/>
      <c r="O43" s="9"/>
      <c r="P43" s="46"/>
      <c r="Q43" s="46"/>
      <c r="R43" s="46"/>
      <c r="S43" s="46"/>
      <c r="T43" s="46"/>
      <c r="U43" s="46"/>
      <c r="V43" s="46"/>
      <c r="W43" s="46"/>
      <c r="X43" s="46"/>
      <c r="Y43" s="46"/>
      <c r="Z43" s="46"/>
    </row>
    <row r="44" spans="1:26" ht="16.5">
      <c r="A44" s="10"/>
      <c r="B44" s="11" t="s">
        <v>857</v>
      </c>
      <c r="C44" s="11"/>
      <c r="D44" s="11"/>
      <c r="E44" s="11"/>
      <c r="F44" s="11"/>
      <c r="G44" s="11"/>
      <c r="H44" s="11"/>
      <c r="I44" s="11"/>
      <c r="J44" s="11"/>
      <c r="K44" s="11"/>
      <c r="L44" s="11"/>
      <c r="M44" s="11"/>
      <c r="N44" s="11"/>
      <c r="O44" s="12"/>
      <c r="P44" s="46"/>
      <c r="Q44" s="46"/>
      <c r="R44" s="46"/>
      <c r="S44" s="46"/>
      <c r="T44" s="46"/>
      <c r="U44" s="46"/>
      <c r="V44" s="46"/>
      <c r="W44" s="46"/>
      <c r="X44" s="46"/>
      <c r="Y44" s="46"/>
      <c r="Z44" s="46"/>
    </row>
    <row r="45" spans="1:26" ht="16.5">
      <c r="A45" s="10"/>
      <c r="B45" s="11" t="s">
        <v>617</v>
      </c>
      <c r="C45" s="11"/>
      <c r="D45" s="11"/>
      <c r="E45" s="11"/>
      <c r="F45" s="11"/>
      <c r="G45" s="11"/>
      <c r="H45" s="11"/>
      <c r="I45" s="11"/>
      <c r="J45" s="11"/>
      <c r="K45" s="11"/>
      <c r="L45" s="11"/>
      <c r="M45" s="11"/>
      <c r="N45" s="11"/>
      <c r="O45" s="12"/>
      <c r="P45" s="46"/>
      <c r="Q45" s="46"/>
      <c r="R45" s="46"/>
      <c r="S45" s="46"/>
      <c r="T45" s="46"/>
      <c r="U45" s="46"/>
      <c r="V45" s="46"/>
      <c r="W45" s="46"/>
      <c r="X45" s="46"/>
      <c r="Y45" s="46"/>
      <c r="Z45" s="46"/>
    </row>
    <row r="46" spans="1:26">
      <c r="A46" s="10"/>
      <c r="B46" s="11" t="s">
        <v>618</v>
      </c>
      <c r="C46" s="11"/>
      <c r="D46" s="11"/>
      <c r="E46" s="11"/>
      <c r="F46" s="11"/>
      <c r="G46" s="11"/>
      <c r="H46" s="11"/>
      <c r="I46" s="11"/>
      <c r="J46" s="11"/>
      <c r="K46" s="11"/>
      <c r="L46" s="11"/>
      <c r="M46" s="11"/>
      <c r="N46" s="11"/>
      <c r="O46" s="12"/>
      <c r="P46" s="46"/>
      <c r="Q46" s="46"/>
      <c r="R46" s="46"/>
      <c r="S46" s="46"/>
      <c r="T46" s="46"/>
      <c r="U46" s="46"/>
      <c r="V46" s="46"/>
      <c r="W46" s="46"/>
      <c r="X46" s="46"/>
      <c r="Y46" s="46"/>
      <c r="Z46" s="46"/>
    </row>
    <row r="47" spans="1:26">
      <c r="A47" s="10"/>
      <c r="B47" s="11" t="s">
        <v>619</v>
      </c>
      <c r="C47" s="11"/>
      <c r="D47" s="11"/>
      <c r="E47" s="11"/>
      <c r="F47" s="11"/>
      <c r="G47" s="11"/>
      <c r="H47" s="11"/>
      <c r="I47" s="11"/>
      <c r="J47" s="11"/>
      <c r="K47" s="11"/>
      <c r="L47" s="11"/>
      <c r="M47" s="11"/>
      <c r="N47" s="11"/>
      <c r="O47" s="12"/>
      <c r="P47" s="46"/>
      <c r="Q47" s="46"/>
      <c r="R47" s="46"/>
      <c r="S47" s="46"/>
      <c r="T47" s="46"/>
      <c r="U47" s="46"/>
      <c r="V47" s="46"/>
      <c r="W47" s="46"/>
      <c r="X47" s="46"/>
      <c r="Y47" s="46"/>
      <c r="Z47" s="46"/>
    </row>
    <row r="48" spans="1:26" s="40" customFormat="1">
      <c r="A48" s="10"/>
      <c r="B48" s="11" t="s">
        <v>858</v>
      </c>
      <c r="C48" s="11"/>
      <c r="D48" s="11"/>
      <c r="E48" s="11"/>
      <c r="F48" s="11"/>
      <c r="G48" s="11"/>
      <c r="H48" s="11"/>
      <c r="I48" s="11"/>
      <c r="J48" s="11"/>
      <c r="K48" s="11"/>
      <c r="L48" s="11"/>
      <c r="M48" s="11"/>
      <c r="N48" s="11"/>
      <c r="O48" s="12"/>
      <c r="P48" s="46"/>
      <c r="Q48" s="46"/>
      <c r="R48" s="46"/>
      <c r="S48" s="46"/>
      <c r="T48" s="46"/>
      <c r="U48" s="46"/>
      <c r="V48" s="46"/>
      <c r="W48" s="46"/>
      <c r="X48" s="46"/>
      <c r="Y48" s="46"/>
      <c r="Z48" s="46"/>
    </row>
    <row r="49" spans="1:26">
      <c r="A49" s="17"/>
      <c r="B49" s="18" t="s">
        <v>620</v>
      </c>
      <c r="C49" s="18"/>
      <c r="D49" s="18"/>
      <c r="E49" s="18"/>
      <c r="F49" s="18"/>
      <c r="G49" s="18"/>
      <c r="H49" s="18"/>
      <c r="I49" s="18"/>
      <c r="J49" s="18"/>
      <c r="K49" s="18"/>
      <c r="L49" s="18"/>
      <c r="M49" s="18"/>
      <c r="N49" s="18"/>
      <c r="O49" s="19"/>
      <c r="P49" s="46"/>
      <c r="Q49" s="46"/>
      <c r="R49" s="46"/>
      <c r="S49" s="46"/>
      <c r="T49" s="46"/>
      <c r="U49" s="46"/>
      <c r="V49" s="46"/>
      <c r="W49" s="46"/>
      <c r="X49" s="46"/>
      <c r="Y49" s="46"/>
      <c r="Z49" s="46"/>
    </row>
    <row r="50" spans="1:26">
      <c r="A50" s="46"/>
      <c r="B50" s="308"/>
      <c r="C50" s="46"/>
      <c r="D50" s="46"/>
      <c r="E50" s="46"/>
      <c r="F50" s="308"/>
      <c r="G50" s="46"/>
      <c r="H50" s="46"/>
      <c r="I50" s="46"/>
      <c r="J50" s="46"/>
      <c r="K50" s="46"/>
      <c r="L50" s="46"/>
      <c r="M50" s="46"/>
      <c r="N50" s="46"/>
      <c r="O50" s="46"/>
      <c r="P50" s="46"/>
      <c r="Q50" s="46"/>
      <c r="R50" s="46"/>
      <c r="S50" s="46"/>
      <c r="T50" s="46"/>
      <c r="U50" s="46"/>
      <c r="V50" s="46"/>
      <c r="W50" s="46"/>
      <c r="X50" s="46"/>
      <c r="Y50" s="46"/>
      <c r="Z50" s="46"/>
    </row>
    <row r="51" spans="1:26">
      <c r="A51" s="106" t="s">
        <v>616</v>
      </c>
      <c r="B51" s="8"/>
      <c r="C51" s="8"/>
      <c r="D51" s="8"/>
      <c r="E51" s="370"/>
      <c r="F51" s="8"/>
      <c r="G51" s="8"/>
      <c r="H51" s="8"/>
      <c r="I51" s="8"/>
      <c r="J51" s="8"/>
      <c r="K51" s="8"/>
      <c r="L51" s="8"/>
      <c r="M51" s="8"/>
      <c r="N51" s="8"/>
      <c r="O51" s="9"/>
      <c r="P51" s="46"/>
      <c r="Q51" s="46"/>
      <c r="R51" s="46"/>
      <c r="S51" s="46"/>
      <c r="T51" s="46"/>
      <c r="U51" s="46"/>
      <c r="V51" s="46"/>
      <c r="W51" s="46"/>
      <c r="X51" s="46"/>
      <c r="Y51" s="46"/>
      <c r="Z51" s="46"/>
    </row>
    <row r="52" spans="1:26" s="40" customFormat="1">
      <c r="A52" s="361"/>
      <c r="B52" s="369" t="s">
        <v>859</v>
      </c>
      <c r="C52" s="11"/>
      <c r="D52" s="51"/>
      <c r="E52" s="11"/>
      <c r="F52" s="11"/>
      <c r="G52" s="11"/>
      <c r="H52" s="11"/>
      <c r="I52" s="11"/>
      <c r="J52" s="11"/>
      <c r="K52" s="11"/>
      <c r="L52" s="11"/>
      <c r="M52" s="11"/>
      <c r="N52" s="11"/>
      <c r="O52" s="12"/>
      <c r="P52" s="46"/>
      <c r="Q52" s="46"/>
      <c r="R52" s="46"/>
      <c r="S52" s="46"/>
      <c r="T52" s="46"/>
      <c r="U52" s="46"/>
      <c r="V52" s="46"/>
      <c r="W52" s="46"/>
      <c r="X52" s="46"/>
      <c r="Y52" s="46"/>
      <c r="Z52" s="46"/>
    </row>
    <row r="53" spans="1:26" s="40" customFormat="1">
      <c r="A53" s="361"/>
      <c r="B53" s="369" t="s">
        <v>860</v>
      </c>
      <c r="C53" s="11"/>
      <c r="D53" s="51"/>
      <c r="E53" s="11"/>
      <c r="F53" s="11"/>
      <c r="G53" s="11"/>
      <c r="H53" s="11"/>
      <c r="I53" s="11"/>
      <c r="J53" s="11"/>
      <c r="K53" s="11"/>
      <c r="L53" s="11"/>
      <c r="M53" s="11"/>
      <c r="N53" s="11"/>
      <c r="O53" s="12"/>
      <c r="P53" s="46"/>
      <c r="Q53" s="46"/>
      <c r="R53" s="46"/>
      <c r="S53" s="46"/>
      <c r="T53" s="46"/>
      <c r="U53" s="46"/>
      <c r="V53" s="46"/>
      <c r="W53" s="46"/>
      <c r="X53" s="46"/>
      <c r="Y53" s="46"/>
      <c r="Z53" s="46"/>
    </row>
    <row r="54" spans="1:26" s="40" customFormat="1">
      <c r="A54" s="361"/>
      <c r="B54" s="369" t="s">
        <v>861</v>
      </c>
      <c r="C54" s="11"/>
      <c r="D54" s="51"/>
      <c r="E54" s="11"/>
      <c r="F54" s="11"/>
      <c r="G54" s="11"/>
      <c r="H54" s="11"/>
      <c r="I54" s="11"/>
      <c r="J54" s="11"/>
      <c r="K54" s="11"/>
      <c r="L54" s="11"/>
      <c r="M54" s="11"/>
      <c r="N54" s="11"/>
      <c r="O54" s="12"/>
      <c r="P54" s="46"/>
      <c r="Q54" s="46"/>
      <c r="R54" s="46"/>
      <c r="S54" s="46"/>
      <c r="T54" s="46"/>
      <c r="U54" s="46"/>
      <c r="V54" s="46"/>
      <c r="W54" s="46"/>
      <c r="X54" s="46"/>
      <c r="Y54" s="46"/>
      <c r="Z54" s="46"/>
    </row>
    <row r="55" spans="1:26" s="40" customFormat="1">
      <c r="A55" s="361"/>
      <c r="B55" s="369" t="s">
        <v>862</v>
      </c>
      <c r="C55" s="11"/>
      <c r="D55" s="51"/>
      <c r="E55" s="11"/>
      <c r="F55" s="11"/>
      <c r="G55" s="11"/>
      <c r="H55" s="11"/>
      <c r="I55" s="11"/>
      <c r="J55" s="11"/>
      <c r="K55" s="11"/>
      <c r="L55" s="11"/>
      <c r="M55" s="11"/>
      <c r="N55" s="11"/>
      <c r="O55" s="12"/>
      <c r="P55" s="46"/>
      <c r="Q55" s="46"/>
      <c r="R55" s="46"/>
      <c r="S55" s="46"/>
      <c r="T55" s="46"/>
      <c r="U55" s="46"/>
      <c r="V55" s="46"/>
      <c r="W55" s="46"/>
      <c r="X55" s="46"/>
      <c r="Y55" s="46"/>
      <c r="Z55" s="46"/>
    </row>
    <row r="56" spans="1:26">
      <c r="A56" s="17"/>
      <c r="B56" s="131"/>
      <c r="C56" s="18"/>
      <c r="D56" s="18"/>
      <c r="E56" s="18"/>
      <c r="F56" s="18"/>
      <c r="G56" s="18"/>
      <c r="H56" s="18"/>
      <c r="I56" s="18"/>
      <c r="J56" s="18"/>
      <c r="K56" s="18"/>
      <c r="L56" s="18"/>
      <c r="M56" s="18"/>
      <c r="N56" s="18"/>
      <c r="O56" s="19"/>
      <c r="P56" s="46"/>
      <c r="Q56" s="46"/>
      <c r="R56" s="46"/>
      <c r="S56" s="46"/>
      <c r="T56" s="46"/>
      <c r="U56" s="46"/>
      <c r="V56" s="46"/>
      <c r="W56" s="46"/>
      <c r="X56" s="46"/>
      <c r="Y56" s="46"/>
      <c r="Z56" s="46"/>
    </row>
    <row r="57" spans="1:26">
      <c r="A57" s="46"/>
      <c r="B57" s="11"/>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s="40" customFormat="1">
      <c r="A58" s="106" t="s">
        <v>452</v>
      </c>
      <c r="B58" s="8"/>
      <c r="C58" s="8"/>
      <c r="D58" s="8"/>
      <c r="E58" s="8"/>
      <c r="F58" s="8"/>
      <c r="G58" s="8"/>
      <c r="H58" s="8"/>
      <c r="I58" s="8"/>
      <c r="J58" s="8"/>
      <c r="K58" s="8"/>
      <c r="L58" s="8"/>
      <c r="M58" s="8"/>
      <c r="N58" s="8"/>
      <c r="O58" s="9"/>
      <c r="P58" s="46"/>
      <c r="Q58" s="46"/>
      <c r="R58" s="46"/>
      <c r="S58" s="46"/>
      <c r="T58" s="46"/>
      <c r="U58" s="46"/>
      <c r="V58" s="46"/>
      <c r="W58" s="46"/>
      <c r="X58" s="46"/>
      <c r="Y58" s="46"/>
      <c r="Z58" s="46"/>
    </row>
    <row r="59" spans="1:26">
      <c r="A59" s="10"/>
      <c r="B59" s="74" t="s">
        <v>63</v>
      </c>
      <c r="C59" s="74"/>
      <c r="D59" s="74"/>
      <c r="E59" s="74"/>
      <c r="F59" s="74"/>
      <c r="G59" s="11"/>
      <c r="H59" s="11"/>
      <c r="I59" s="11"/>
      <c r="J59" s="11"/>
      <c r="K59" s="11"/>
      <c r="L59" s="11"/>
      <c r="M59" s="11"/>
      <c r="N59" s="11"/>
      <c r="O59" s="12"/>
      <c r="P59" s="46"/>
      <c r="Q59" s="46"/>
      <c r="R59" s="46"/>
      <c r="S59" s="46"/>
      <c r="T59" s="46"/>
      <c r="U59" s="46"/>
      <c r="V59" s="46"/>
      <c r="W59" s="46"/>
      <c r="X59" s="46"/>
      <c r="Y59" s="46"/>
      <c r="Z59" s="46"/>
    </row>
    <row r="60" spans="1:26">
      <c r="A60" s="10"/>
      <c r="B60" s="74" t="s">
        <v>57</v>
      </c>
      <c r="C60" s="74"/>
      <c r="D60" s="74"/>
      <c r="E60" s="74"/>
      <c r="F60" s="74"/>
      <c r="G60" s="11"/>
      <c r="H60" s="11"/>
      <c r="I60" s="11"/>
      <c r="J60" s="11"/>
      <c r="K60" s="11"/>
      <c r="L60" s="11"/>
      <c r="M60" s="11"/>
      <c r="N60" s="11"/>
      <c r="O60" s="12"/>
      <c r="P60" s="46"/>
      <c r="Q60" s="46"/>
      <c r="R60" s="46"/>
      <c r="S60" s="46"/>
      <c r="T60" s="46"/>
      <c r="U60" s="46"/>
      <c r="V60" s="46"/>
      <c r="W60" s="46"/>
      <c r="X60" s="46"/>
      <c r="Y60" s="46"/>
      <c r="Z60" s="46"/>
    </row>
    <row r="61" spans="1:26">
      <c r="A61" s="10"/>
      <c r="B61" s="74" t="s">
        <v>193</v>
      </c>
      <c r="C61" s="11"/>
      <c r="D61" s="11"/>
      <c r="E61" s="11"/>
      <c r="F61" s="11"/>
      <c r="G61" s="11"/>
      <c r="H61" s="11"/>
      <c r="I61" s="11"/>
      <c r="J61" s="11"/>
      <c r="K61" s="11"/>
      <c r="L61" s="11"/>
      <c r="M61" s="11"/>
      <c r="N61" s="11"/>
      <c r="O61" s="12"/>
      <c r="P61" s="46"/>
      <c r="Q61" s="46"/>
      <c r="R61" s="46"/>
      <c r="S61" s="46"/>
      <c r="T61" s="46"/>
      <c r="U61" s="46"/>
      <c r="V61" s="46"/>
      <c r="W61" s="46"/>
      <c r="X61" s="46"/>
      <c r="Y61" s="46"/>
      <c r="Z61" s="46"/>
    </row>
    <row r="62" spans="1:26">
      <c r="A62" s="10"/>
      <c r="B62" s="74" t="s">
        <v>194</v>
      </c>
      <c r="C62" s="11"/>
      <c r="D62" s="11"/>
      <c r="E62" s="11"/>
      <c r="F62" s="11"/>
      <c r="G62" s="11"/>
      <c r="H62" s="11"/>
      <c r="I62" s="11"/>
      <c r="J62" s="11"/>
      <c r="K62" s="11"/>
      <c r="L62" s="11"/>
      <c r="M62" s="11"/>
      <c r="N62" s="11"/>
      <c r="O62" s="12"/>
      <c r="P62" s="46"/>
      <c r="Q62" s="46"/>
      <c r="R62" s="46"/>
      <c r="S62" s="46"/>
      <c r="T62" s="46"/>
      <c r="U62" s="46"/>
      <c r="V62" s="46"/>
      <c r="W62" s="46"/>
      <c r="X62" s="46"/>
      <c r="Y62" s="46"/>
      <c r="Z62" s="46"/>
    </row>
    <row r="63" spans="1:26">
      <c r="A63" s="17"/>
      <c r="B63" s="18"/>
      <c r="C63" s="18"/>
      <c r="D63" s="18"/>
      <c r="E63" s="18"/>
      <c r="F63" s="18"/>
      <c r="G63" s="18"/>
      <c r="H63" s="18"/>
      <c r="I63" s="18"/>
      <c r="J63" s="18"/>
      <c r="K63" s="18"/>
      <c r="L63" s="18"/>
      <c r="M63" s="18"/>
      <c r="N63" s="18"/>
      <c r="O63" s="19"/>
      <c r="P63" s="46"/>
      <c r="Q63" s="46"/>
      <c r="R63" s="46"/>
      <c r="S63" s="46"/>
      <c r="T63" s="46"/>
      <c r="U63" s="46"/>
      <c r="V63" s="46"/>
      <c r="W63" s="46"/>
      <c r="X63" s="46"/>
      <c r="Y63" s="46"/>
      <c r="Z63" s="46"/>
    </row>
    <row r="64" spans="1:26">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c r="P290" s="46"/>
      <c r="Q290" s="46"/>
      <c r="R290" s="46"/>
      <c r="S290" s="46"/>
      <c r="T290" s="46"/>
      <c r="U290" s="46"/>
      <c r="V290" s="46"/>
      <c r="W290" s="46"/>
      <c r="X290" s="46"/>
      <c r="Y290" s="46"/>
      <c r="Z290" s="46"/>
    </row>
    <row r="291" spans="1:26">
      <c r="P291" s="46"/>
      <c r="Q291" s="46"/>
      <c r="R291" s="46"/>
      <c r="S291" s="46"/>
      <c r="T291" s="46"/>
      <c r="U291" s="46"/>
      <c r="V291" s="46"/>
      <c r="W291" s="46"/>
      <c r="X291" s="46"/>
      <c r="Y291" s="46"/>
      <c r="Z291" s="46"/>
    </row>
    <row r="292" spans="1:26">
      <c r="P292" s="46"/>
      <c r="Q292" s="46"/>
      <c r="R292" s="46"/>
      <c r="S292" s="46"/>
      <c r="T292" s="46"/>
      <c r="U292" s="46"/>
      <c r="V292" s="46"/>
      <c r="W292" s="46"/>
      <c r="X292" s="46"/>
      <c r="Y292" s="46"/>
      <c r="Z292" s="46"/>
    </row>
    <row r="293" spans="1:26">
      <c r="P293" s="46"/>
      <c r="Q293" s="46"/>
      <c r="R293" s="46"/>
      <c r="S293" s="46"/>
      <c r="T293" s="46"/>
      <c r="U293" s="46"/>
      <c r="V293" s="46"/>
      <c r="W293" s="46"/>
      <c r="X293" s="46"/>
      <c r="Y293" s="46"/>
      <c r="Z293" s="46"/>
    </row>
    <row r="294" spans="1:26">
      <c r="P294" s="46"/>
      <c r="Q294" s="46"/>
      <c r="R294" s="46"/>
      <c r="S294" s="46"/>
      <c r="T294" s="46"/>
      <c r="U294" s="46"/>
      <c r="V294" s="46"/>
      <c r="W294" s="46"/>
      <c r="X294" s="46"/>
      <c r="Y294" s="46"/>
      <c r="Z294" s="46"/>
    </row>
    <row r="295" spans="1:26">
      <c r="P295" s="46"/>
      <c r="Q295" s="46"/>
      <c r="R295" s="46"/>
      <c r="S295" s="46"/>
      <c r="T295" s="46"/>
      <c r="U295" s="46"/>
      <c r="V295" s="46"/>
      <c r="W295" s="46"/>
      <c r="X295" s="46"/>
      <c r="Y295" s="46"/>
      <c r="Z295" s="46"/>
    </row>
    <row r="296" spans="1:26">
      <c r="P296" s="46"/>
      <c r="Q296" s="46"/>
      <c r="R296" s="46"/>
      <c r="S296" s="46"/>
      <c r="T296" s="46"/>
      <c r="U296" s="46"/>
      <c r="V296" s="46"/>
      <c r="W296" s="46"/>
      <c r="X296" s="46"/>
      <c r="Y296" s="46"/>
      <c r="Z296" s="46"/>
    </row>
    <row r="297" spans="1:26">
      <c r="P297" s="46"/>
      <c r="Q297" s="46"/>
      <c r="R297" s="46"/>
      <c r="S297" s="46"/>
      <c r="T297" s="46"/>
      <c r="U297" s="46"/>
      <c r="V297" s="46"/>
      <c r="W297" s="46"/>
      <c r="X297" s="46"/>
      <c r="Y297" s="46"/>
      <c r="Z297" s="46"/>
    </row>
    <row r="298" spans="1:26">
      <c r="P298" s="46"/>
      <c r="Q298" s="46"/>
      <c r="R298" s="46"/>
      <c r="S298" s="46"/>
      <c r="T298" s="46"/>
      <c r="U298" s="46"/>
      <c r="V298" s="46"/>
      <c r="W298" s="46"/>
      <c r="X298" s="46"/>
      <c r="Y298" s="46"/>
      <c r="Z298" s="46"/>
    </row>
    <row r="299" spans="1:26">
      <c r="P299" s="46"/>
      <c r="Q299" s="46"/>
      <c r="R299" s="46"/>
      <c r="S299" s="46"/>
      <c r="T299" s="46"/>
      <c r="U299" s="46"/>
      <c r="V299" s="46"/>
      <c r="W299" s="46"/>
      <c r="X299" s="46"/>
      <c r="Y299" s="46"/>
      <c r="Z299" s="46"/>
    </row>
    <row r="300" spans="1:26">
      <c r="P300" s="46"/>
      <c r="Q300" s="46"/>
      <c r="R300" s="46"/>
      <c r="S300" s="46"/>
      <c r="T300" s="46"/>
      <c r="U300" s="46"/>
      <c r="V300" s="46"/>
      <c r="W300" s="46"/>
      <c r="X300" s="46"/>
      <c r="Y300" s="46"/>
      <c r="Z300" s="46"/>
    </row>
    <row r="301" spans="1:26">
      <c r="P301" s="46"/>
      <c r="Q301" s="46"/>
      <c r="R301" s="46"/>
      <c r="S301" s="46"/>
      <c r="T301" s="46"/>
      <c r="U301" s="46"/>
      <c r="V301" s="46"/>
      <c r="W301" s="46"/>
      <c r="X301" s="46"/>
      <c r="Y301" s="46"/>
      <c r="Z301" s="46"/>
    </row>
    <row r="302" spans="1:26">
      <c r="P302" s="46"/>
      <c r="Q302" s="46"/>
      <c r="R302" s="46"/>
      <c r="S302" s="46"/>
      <c r="T302" s="46"/>
      <c r="U302" s="46"/>
      <c r="V302" s="46"/>
      <c r="W302" s="46"/>
      <c r="X302" s="46"/>
      <c r="Y302" s="46"/>
      <c r="Z302" s="46"/>
    </row>
    <row r="303" spans="1:26">
      <c r="P303" s="46"/>
      <c r="Q303" s="46"/>
      <c r="R303" s="46"/>
      <c r="S303" s="46"/>
      <c r="T303" s="46"/>
      <c r="U303" s="46"/>
      <c r="V303" s="46"/>
      <c r="W303" s="46"/>
      <c r="X303" s="46"/>
      <c r="Y303" s="46"/>
      <c r="Z303" s="46"/>
    </row>
    <row r="304" spans="1:26">
      <c r="P304" s="46"/>
      <c r="Q304" s="46"/>
      <c r="R304" s="46"/>
      <c r="S304" s="46"/>
      <c r="T304" s="46"/>
      <c r="U304" s="46"/>
      <c r="V304" s="46"/>
      <c r="W304" s="46"/>
      <c r="X304" s="46"/>
      <c r="Y304" s="46"/>
      <c r="Z304" s="46"/>
    </row>
    <row r="305" spans="16:26">
      <c r="P305" s="46"/>
      <c r="Q305" s="46"/>
      <c r="R305" s="46"/>
      <c r="S305" s="46"/>
      <c r="T305" s="46"/>
      <c r="U305" s="46"/>
      <c r="V305" s="46"/>
      <c r="W305" s="46"/>
      <c r="X305" s="46"/>
      <c r="Y305" s="46"/>
      <c r="Z305" s="46"/>
    </row>
    <row r="306" spans="16:26">
      <c r="P306" s="46"/>
      <c r="Q306" s="46"/>
      <c r="R306" s="46"/>
      <c r="S306" s="46"/>
      <c r="T306" s="46"/>
      <c r="U306" s="46"/>
      <c r="V306" s="46"/>
      <c r="W306" s="46"/>
      <c r="X306" s="46"/>
      <c r="Y306" s="46"/>
      <c r="Z306" s="46"/>
    </row>
    <row r="307" spans="16:26">
      <c r="P307" s="46"/>
      <c r="Q307" s="46"/>
      <c r="R307" s="46"/>
      <c r="S307" s="46"/>
      <c r="T307" s="46"/>
      <c r="U307" s="46"/>
      <c r="V307" s="46"/>
      <c r="W307" s="46"/>
      <c r="X307" s="46"/>
      <c r="Y307" s="46"/>
      <c r="Z307" s="46"/>
    </row>
    <row r="308" spans="16:26">
      <c r="P308" s="46"/>
      <c r="Q308" s="46"/>
      <c r="R308" s="46"/>
      <c r="S308" s="46"/>
      <c r="T308" s="46"/>
      <c r="U308" s="46"/>
      <c r="V308" s="46"/>
      <c r="W308" s="46"/>
      <c r="X308" s="46"/>
      <c r="Y308" s="46"/>
      <c r="Z308" s="46"/>
    </row>
    <row r="309" spans="16:26">
      <c r="P309" s="46"/>
      <c r="Q309" s="46"/>
      <c r="R309" s="46"/>
      <c r="S309" s="46"/>
      <c r="T309" s="46"/>
      <c r="U309" s="46"/>
      <c r="V309" s="46"/>
      <c r="W309" s="46"/>
      <c r="X309" s="46"/>
      <c r="Y309" s="46"/>
      <c r="Z309" s="46"/>
    </row>
    <row r="310" spans="16:26">
      <c r="P310" s="46"/>
      <c r="Q310" s="46"/>
      <c r="R310" s="46"/>
      <c r="S310" s="46"/>
      <c r="T310" s="46"/>
      <c r="U310" s="46"/>
      <c r="V310" s="46"/>
      <c r="W310" s="46"/>
      <c r="X310" s="46"/>
      <c r="Y310" s="46"/>
      <c r="Z310" s="46"/>
    </row>
    <row r="311" spans="16:26">
      <c r="P311" s="46"/>
      <c r="Q311" s="46"/>
      <c r="R311" s="46"/>
      <c r="S311" s="46"/>
      <c r="T311" s="46"/>
      <c r="U311" s="46"/>
      <c r="V311" s="46"/>
      <c r="W311" s="46"/>
      <c r="X311" s="46"/>
      <c r="Y311" s="46"/>
      <c r="Z311" s="46"/>
    </row>
    <row r="312" spans="16:26">
      <c r="P312" s="46"/>
      <c r="Q312" s="46"/>
      <c r="R312" s="46"/>
      <c r="S312" s="46"/>
      <c r="T312" s="46"/>
      <c r="U312" s="46"/>
      <c r="V312" s="46"/>
      <c r="W312" s="46"/>
      <c r="X312" s="46"/>
      <c r="Y312" s="46"/>
      <c r="Z312" s="46"/>
    </row>
    <row r="313" spans="16:26">
      <c r="P313" s="46"/>
      <c r="Q313" s="46"/>
      <c r="R313" s="46"/>
      <c r="S313" s="46"/>
      <c r="T313" s="46"/>
      <c r="U313" s="46"/>
      <c r="V313" s="46"/>
      <c r="W313" s="46"/>
      <c r="X313" s="46"/>
      <c r="Y313" s="46"/>
      <c r="Z313" s="46"/>
    </row>
    <row r="314" spans="16:26">
      <c r="P314" s="46"/>
      <c r="Q314" s="46"/>
      <c r="R314" s="46"/>
      <c r="S314" s="46"/>
      <c r="T314" s="46"/>
      <c r="U314" s="46"/>
      <c r="V314" s="46"/>
      <c r="W314" s="46"/>
      <c r="X314" s="46"/>
      <c r="Y314" s="46"/>
      <c r="Z314" s="46"/>
    </row>
    <row r="315" spans="16:26">
      <c r="P315" s="46"/>
      <c r="Q315" s="46"/>
      <c r="R315" s="46"/>
      <c r="S315" s="46"/>
      <c r="T315" s="46"/>
      <c r="U315" s="46"/>
      <c r="V315" s="46"/>
      <c r="W315" s="46"/>
      <c r="X315" s="46"/>
      <c r="Y315" s="46"/>
      <c r="Z315" s="46"/>
    </row>
    <row r="316" spans="16:26">
      <c r="P316" s="46"/>
      <c r="Q316" s="46"/>
      <c r="R316" s="46"/>
      <c r="S316" s="46"/>
      <c r="T316" s="46"/>
      <c r="U316" s="46"/>
      <c r="V316" s="46"/>
      <c r="W316" s="46"/>
      <c r="X316" s="46"/>
      <c r="Y316" s="46"/>
      <c r="Z316" s="46"/>
    </row>
    <row r="317" spans="16:26">
      <c r="P317" s="46"/>
      <c r="Q317" s="46"/>
      <c r="R317" s="46"/>
      <c r="S317" s="46"/>
      <c r="T317" s="46"/>
      <c r="U317" s="46"/>
      <c r="V317" s="46"/>
      <c r="W317" s="46"/>
      <c r="X317" s="46"/>
      <c r="Y317" s="46"/>
      <c r="Z317" s="46"/>
    </row>
    <row r="318" spans="16:26">
      <c r="P318" s="46"/>
      <c r="Q318" s="46"/>
      <c r="R318" s="46"/>
      <c r="S318" s="46"/>
      <c r="T318" s="46"/>
      <c r="U318" s="46"/>
      <c r="V318" s="46"/>
      <c r="W318" s="46"/>
      <c r="X318" s="46"/>
      <c r="Y318" s="46"/>
      <c r="Z318" s="46"/>
    </row>
    <row r="319" spans="16:26">
      <c r="P319" s="46"/>
      <c r="Q319" s="46"/>
      <c r="R319" s="46"/>
      <c r="S319" s="46"/>
      <c r="T319" s="46"/>
      <c r="U319" s="46"/>
      <c r="V319" s="46"/>
      <c r="W319" s="46"/>
      <c r="X319" s="46"/>
      <c r="Y319" s="46"/>
      <c r="Z319" s="46"/>
    </row>
    <row r="320" spans="16:26">
      <c r="P320" s="46"/>
      <c r="Q320" s="46"/>
      <c r="R320" s="46"/>
      <c r="S320" s="46"/>
      <c r="T320" s="46"/>
      <c r="U320" s="46"/>
      <c r="V320" s="46"/>
      <c r="W320" s="46"/>
      <c r="X320" s="46"/>
      <c r="Y320" s="46"/>
      <c r="Z320" s="46"/>
    </row>
    <row r="321" spans="16:26">
      <c r="P321" s="46"/>
      <c r="Q321" s="46"/>
      <c r="R321" s="46"/>
      <c r="S321" s="46"/>
      <c r="T321" s="46"/>
      <c r="U321" s="46"/>
      <c r="V321" s="46"/>
      <c r="W321" s="46"/>
      <c r="X321" s="46"/>
      <c r="Y321" s="46"/>
      <c r="Z321" s="46"/>
    </row>
    <row r="322" spans="16:26">
      <c r="P322" s="46"/>
      <c r="Q322" s="46"/>
      <c r="R322" s="46"/>
      <c r="S322" s="46"/>
      <c r="T322" s="46"/>
      <c r="U322" s="46"/>
      <c r="V322" s="46"/>
      <c r="W322" s="46"/>
      <c r="X322" s="46"/>
      <c r="Y322" s="46"/>
      <c r="Z322" s="46"/>
    </row>
    <row r="323" spans="16:26">
      <c r="P323" s="46"/>
      <c r="Q323" s="46"/>
      <c r="R323" s="46"/>
      <c r="S323" s="46"/>
      <c r="T323" s="46"/>
      <c r="U323" s="46"/>
      <c r="V323" s="46"/>
      <c r="W323" s="46"/>
      <c r="X323" s="46"/>
      <c r="Y323" s="46"/>
      <c r="Z323" s="46"/>
    </row>
    <row r="324" spans="16:26">
      <c r="P324" s="46"/>
      <c r="Q324" s="46"/>
      <c r="R324" s="46"/>
      <c r="S324" s="46"/>
      <c r="T324" s="46"/>
      <c r="U324" s="46"/>
      <c r="V324" s="46"/>
      <c r="W324" s="46"/>
      <c r="X324" s="46"/>
      <c r="Y324" s="46"/>
      <c r="Z324" s="46"/>
    </row>
    <row r="325" spans="16:26">
      <c r="P325" s="46"/>
      <c r="Q325" s="46"/>
      <c r="R325" s="46"/>
      <c r="S325" s="46"/>
      <c r="T325" s="46"/>
      <c r="U325" s="46"/>
      <c r="V325" s="46"/>
      <c r="W325" s="46"/>
      <c r="X325" s="46"/>
      <c r="Y325" s="46"/>
      <c r="Z325" s="46"/>
    </row>
    <row r="326" spans="16:26">
      <c r="P326" s="46"/>
      <c r="Q326" s="46"/>
      <c r="R326" s="46"/>
      <c r="S326" s="46"/>
      <c r="T326" s="46"/>
      <c r="U326" s="46"/>
      <c r="V326" s="46"/>
      <c r="W326" s="46"/>
      <c r="X326" s="46"/>
      <c r="Y326" s="46"/>
      <c r="Z326" s="46"/>
    </row>
    <row r="327" spans="16:26">
      <c r="P327" s="46"/>
      <c r="Q327" s="46"/>
      <c r="R327" s="46"/>
      <c r="S327" s="46"/>
      <c r="T327" s="46"/>
      <c r="U327" s="46"/>
      <c r="V327" s="46"/>
      <c r="W327" s="46"/>
      <c r="X327" s="46"/>
      <c r="Y327" s="46"/>
      <c r="Z327" s="4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520"/>
  <sheetViews>
    <sheetView topLeftCell="A92" zoomScale="90" zoomScaleNormal="90" workbookViewId="0">
      <selection activeCell="F114" sqref="F114"/>
    </sheetView>
  </sheetViews>
  <sheetFormatPr defaultColWidth="9.1796875" defaultRowHeight="14.5"/>
  <cols>
    <col min="1" max="1" width="9.1796875" style="40"/>
    <col min="2" max="3" width="9.1796875" style="3"/>
    <col min="4" max="4" width="13.54296875" style="3" customWidth="1"/>
    <col min="5" max="5" width="10.7265625" style="3" customWidth="1"/>
    <col min="6" max="6" width="17.81640625" style="3" customWidth="1"/>
    <col min="7" max="7" width="10" style="3" customWidth="1"/>
    <col min="8" max="8" width="16.26953125" style="3" customWidth="1"/>
    <col min="9" max="13" width="9.1796875" style="3"/>
    <col min="14" max="14" width="14.26953125" style="3" customWidth="1"/>
    <col min="15" max="16384" width="9.1796875" style="3"/>
  </cols>
  <sheetData>
    <row r="1" spans="1:21">
      <c r="A1" s="46"/>
      <c r="B1" s="7"/>
      <c r="C1" s="8"/>
      <c r="D1" s="8"/>
      <c r="E1" s="8"/>
      <c r="F1" s="8"/>
      <c r="G1" s="8"/>
      <c r="H1" s="8"/>
      <c r="I1" s="8"/>
      <c r="J1" s="8"/>
      <c r="K1" s="8"/>
      <c r="L1" s="8"/>
      <c r="M1" s="8"/>
      <c r="N1" s="8"/>
      <c r="O1" s="8"/>
      <c r="P1" s="9"/>
      <c r="Q1" s="46"/>
      <c r="R1" s="46"/>
      <c r="S1" s="46"/>
      <c r="T1" s="46"/>
      <c r="U1" s="46"/>
    </row>
    <row r="2" spans="1:21">
      <c r="A2" s="46"/>
      <c r="B2" s="10"/>
      <c r="C2" s="11"/>
      <c r="D2" s="11"/>
      <c r="E2" s="11"/>
      <c r="F2" s="11"/>
      <c r="G2" s="11"/>
      <c r="H2" s="46" t="s">
        <v>2</v>
      </c>
      <c r="I2" s="11"/>
      <c r="J2" s="11"/>
      <c r="K2" s="11"/>
      <c r="L2" s="11"/>
      <c r="M2" s="11"/>
      <c r="N2" s="11"/>
      <c r="O2" s="11"/>
      <c r="P2" s="12"/>
      <c r="Q2" s="46"/>
      <c r="R2" s="46"/>
      <c r="S2" s="46"/>
      <c r="T2" s="46"/>
      <c r="U2" s="46"/>
    </row>
    <row r="3" spans="1:21">
      <c r="A3" s="46"/>
      <c r="B3" s="10"/>
      <c r="C3" s="11"/>
      <c r="D3" s="11"/>
      <c r="E3" s="11"/>
      <c r="F3" s="11"/>
      <c r="G3" s="11"/>
      <c r="H3" s="46" t="s">
        <v>4</v>
      </c>
      <c r="I3" s="11"/>
      <c r="J3" s="11"/>
      <c r="K3" s="11"/>
      <c r="L3" s="11"/>
      <c r="M3" s="11"/>
      <c r="N3" s="11"/>
      <c r="O3" s="11"/>
      <c r="P3" s="12"/>
      <c r="Q3" s="46"/>
      <c r="R3" s="46"/>
      <c r="S3" s="46"/>
      <c r="T3" s="46"/>
      <c r="U3" s="46"/>
    </row>
    <row r="4" spans="1:21">
      <c r="A4" s="46"/>
      <c r="B4" s="10"/>
      <c r="C4" s="11"/>
      <c r="D4" s="11"/>
      <c r="E4" s="11"/>
      <c r="F4" s="11"/>
      <c r="G4" s="11"/>
      <c r="H4" s="11"/>
      <c r="I4" s="11"/>
      <c r="J4" s="11"/>
      <c r="K4" s="11"/>
      <c r="L4" s="11"/>
      <c r="M4" s="11"/>
      <c r="N4" s="11"/>
      <c r="O4" s="11"/>
      <c r="P4" s="12"/>
      <c r="Q4" s="46"/>
      <c r="R4" s="46"/>
      <c r="S4" s="46"/>
      <c r="T4" s="46"/>
      <c r="U4" s="46"/>
    </row>
    <row r="5" spans="1:21">
      <c r="A5" s="46"/>
      <c r="B5" s="10"/>
      <c r="C5" s="11"/>
      <c r="D5" s="11"/>
      <c r="E5" s="11"/>
      <c r="F5" s="11"/>
      <c r="G5" s="11"/>
      <c r="H5" s="11"/>
      <c r="I5" s="11"/>
      <c r="J5" s="11"/>
      <c r="K5" s="11"/>
      <c r="L5" s="11"/>
      <c r="M5" s="11"/>
      <c r="N5" s="11"/>
      <c r="O5" s="11"/>
      <c r="P5" s="12"/>
      <c r="Q5" s="46"/>
      <c r="R5" s="46"/>
      <c r="S5" s="46"/>
      <c r="T5" s="46"/>
      <c r="U5" s="46"/>
    </row>
    <row r="6" spans="1:21">
      <c r="A6" s="46"/>
      <c r="B6" s="10"/>
      <c r="C6" s="13" t="s">
        <v>0</v>
      </c>
      <c r="D6" s="11"/>
      <c r="E6" s="11"/>
      <c r="F6" s="11"/>
      <c r="G6" s="11"/>
      <c r="H6" s="11"/>
      <c r="I6" s="11"/>
      <c r="J6" s="11"/>
      <c r="K6" s="14" t="s">
        <v>5</v>
      </c>
      <c r="L6" s="15">
        <f>'Program Overview'!K6</f>
        <v>7</v>
      </c>
      <c r="M6" s="11"/>
      <c r="N6" s="16">
        <f>'Program Overview'!M6</f>
        <v>43752</v>
      </c>
      <c r="O6" s="11"/>
      <c r="P6" s="12"/>
      <c r="Q6" s="46"/>
      <c r="R6" s="46"/>
      <c r="S6" s="46"/>
      <c r="T6" s="46"/>
      <c r="U6" s="46"/>
    </row>
    <row r="7" spans="1:21">
      <c r="A7" s="46"/>
      <c r="B7" s="10"/>
      <c r="C7" s="13" t="s">
        <v>1</v>
      </c>
      <c r="D7" s="11"/>
      <c r="E7" s="11"/>
      <c r="F7" s="11"/>
      <c r="G7" s="11"/>
      <c r="H7" s="11"/>
      <c r="I7" s="11"/>
      <c r="J7" s="11"/>
      <c r="K7" s="11"/>
      <c r="L7" s="11"/>
      <c r="M7" s="11"/>
      <c r="N7" s="11"/>
      <c r="O7" s="11"/>
      <c r="P7" s="12"/>
      <c r="Q7" s="46"/>
      <c r="R7" s="46"/>
      <c r="S7" s="46"/>
      <c r="T7" s="46"/>
      <c r="U7" s="46"/>
    </row>
    <row r="8" spans="1:21" s="40" customFormat="1">
      <c r="A8" s="46"/>
      <c r="B8" s="10"/>
      <c r="C8" s="729" t="s">
        <v>559</v>
      </c>
      <c r="D8" s="730" t="s">
        <v>896</v>
      </c>
      <c r="E8" s="57"/>
      <c r="F8" s="11"/>
      <c r="G8" s="11"/>
      <c r="H8" s="11"/>
      <c r="I8" s="11"/>
      <c r="J8" s="11"/>
      <c r="K8" s="11"/>
      <c r="L8" s="11" t="s">
        <v>190</v>
      </c>
      <c r="M8" s="11"/>
      <c r="N8" s="11"/>
      <c r="O8" s="11"/>
      <c r="P8" s="12"/>
      <c r="Q8" s="46"/>
      <c r="R8" s="46"/>
      <c r="S8" s="46"/>
      <c r="T8" s="46"/>
      <c r="U8" s="46"/>
    </row>
    <row r="9" spans="1:21">
      <c r="A9" s="46"/>
      <c r="B9" s="17"/>
      <c r="C9" s="18"/>
      <c r="D9" s="18"/>
      <c r="E9" s="18"/>
      <c r="F9" s="18"/>
      <c r="G9" s="18"/>
      <c r="H9" s="18"/>
      <c r="I9" s="18"/>
      <c r="J9" s="18"/>
      <c r="K9" s="18"/>
      <c r="L9" s="18"/>
      <c r="M9" s="18"/>
      <c r="N9" s="18"/>
      <c r="O9" s="18"/>
      <c r="P9" s="19"/>
      <c r="Q9" s="46"/>
      <c r="R9" s="46"/>
      <c r="S9" s="46"/>
      <c r="T9" s="46"/>
      <c r="U9" s="46"/>
    </row>
    <row r="10" spans="1:21" ht="20.149999999999999" customHeight="1">
      <c r="A10" s="46"/>
      <c r="B10" s="37"/>
      <c r="C10" s="59" t="s">
        <v>848</v>
      </c>
      <c r="D10" s="59"/>
      <c r="E10" s="59"/>
      <c r="F10" s="59"/>
      <c r="G10" s="59"/>
      <c r="H10" s="59"/>
      <c r="I10" s="59"/>
      <c r="J10" s="59"/>
      <c r="K10" s="59"/>
      <c r="L10" s="59"/>
      <c r="M10" s="59"/>
      <c r="N10" s="59"/>
      <c r="O10" s="59"/>
      <c r="P10" s="227"/>
      <c r="Q10" s="46"/>
      <c r="R10" s="46"/>
      <c r="S10" s="46"/>
      <c r="T10" s="46"/>
      <c r="U10" s="46"/>
    </row>
    <row r="11" spans="1:21" ht="11" customHeight="1">
      <c r="A11" s="46"/>
      <c r="B11" s="38"/>
      <c r="C11" s="60"/>
      <c r="D11" s="60"/>
      <c r="E11" s="60"/>
      <c r="F11" s="60"/>
      <c r="G11" s="60"/>
      <c r="H11" s="60"/>
      <c r="I11" s="60"/>
      <c r="J11" s="60"/>
      <c r="K11" s="60"/>
      <c r="L11" s="60"/>
      <c r="M11" s="60"/>
      <c r="N11" s="60"/>
      <c r="O11" s="60"/>
      <c r="P11" s="228"/>
      <c r="Q11" s="46"/>
      <c r="R11" s="46"/>
      <c r="S11" s="46"/>
      <c r="T11" s="46"/>
      <c r="U11" s="46"/>
    </row>
    <row r="12" spans="1:21">
      <c r="A12" s="46"/>
      <c r="B12" s="7"/>
      <c r="C12" s="8"/>
      <c r="D12" s="8"/>
      <c r="E12" s="8"/>
      <c r="F12" s="8"/>
      <c r="G12" s="8"/>
      <c r="H12" s="8"/>
      <c r="I12" s="8"/>
      <c r="J12" s="8"/>
      <c r="K12" s="8"/>
      <c r="L12" s="8"/>
      <c r="M12" s="8"/>
      <c r="N12" s="8"/>
      <c r="O12" s="8"/>
      <c r="P12" s="9"/>
      <c r="Q12" s="46"/>
      <c r="R12" s="46"/>
      <c r="S12" s="46"/>
      <c r="T12" s="46"/>
      <c r="U12" s="46"/>
    </row>
    <row r="13" spans="1:21">
      <c r="A13" s="46"/>
      <c r="B13" s="10"/>
      <c r="C13" s="11" t="s">
        <v>64</v>
      </c>
      <c r="D13" s="11"/>
      <c r="E13" s="11"/>
      <c r="F13" s="11"/>
      <c r="G13" s="11"/>
      <c r="H13" s="11"/>
      <c r="I13" s="11"/>
      <c r="J13" s="11"/>
      <c r="K13" s="11"/>
      <c r="L13" s="11"/>
      <c r="M13" s="11"/>
      <c r="N13" s="11"/>
      <c r="O13" s="11"/>
      <c r="P13" s="12"/>
      <c r="Q13" s="46"/>
      <c r="R13" s="46"/>
      <c r="S13" s="46"/>
      <c r="T13" s="46"/>
      <c r="U13" s="46"/>
    </row>
    <row r="14" spans="1:21" ht="7" customHeight="1">
      <c r="A14" s="46"/>
      <c r="B14" s="17"/>
      <c r="C14" s="18"/>
      <c r="D14" s="18"/>
      <c r="E14" s="18"/>
      <c r="F14" s="18"/>
      <c r="G14" s="18"/>
      <c r="H14" s="18"/>
      <c r="I14" s="18"/>
      <c r="J14" s="18"/>
      <c r="K14" s="18"/>
      <c r="L14" s="18"/>
      <c r="M14" s="18"/>
      <c r="N14" s="18"/>
      <c r="O14" s="18"/>
      <c r="P14" s="19"/>
      <c r="Q14" s="46"/>
      <c r="R14" s="46"/>
      <c r="S14" s="46"/>
      <c r="T14" s="46"/>
      <c r="U14" s="46"/>
    </row>
    <row r="15" spans="1:21">
      <c r="A15" s="46"/>
      <c r="B15" s="7"/>
      <c r="C15" s="47" t="s">
        <v>65</v>
      </c>
      <c r="D15" s="8"/>
      <c r="E15" s="8"/>
      <c r="F15" s="8"/>
      <c r="G15" s="8"/>
      <c r="H15" s="8"/>
      <c r="I15" s="8"/>
      <c r="J15" s="8"/>
      <c r="K15" s="8"/>
      <c r="L15" s="8"/>
      <c r="M15" s="8"/>
      <c r="N15" s="8"/>
      <c r="O15" s="8"/>
      <c r="P15" s="9"/>
      <c r="Q15" s="46"/>
      <c r="R15" s="46"/>
      <c r="S15" s="46"/>
      <c r="T15" s="46"/>
      <c r="U15" s="46"/>
    </row>
    <row r="16" spans="1:21">
      <c r="A16" s="46"/>
      <c r="B16" s="10"/>
      <c r="C16" s="48" t="s">
        <v>66</v>
      </c>
      <c r="D16" s="11"/>
      <c r="E16" s="11"/>
      <c r="F16" s="11"/>
      <c r="G16" s="11"/>
      <c r="H16" s="11"/>
      <c r="I16" s="11"/>
      <c r="J16" s="11"/>
      <c r="K16" s="11"/>
      <c r="L16" s="11"/>
      <c r="M16" s="11"/>
      <c r="N16" s="11"/>
      <c r="O16" s="11"/>
      <c r="P16" s="12"/>
      <c r="Q16" s="46"/>
      <c r="R16" s="46"/>
      <c r="S16" s="46"/>
      <c r="T16" s="46"/>
      <c r="U16" s="46"/>
    </row>
    <row r="17" spans="1:22">
      <c r="A17" s="46"/>
      <c r="B17" s="10"/>
      <c r="C17" s="11"/>
      <c r="D17" s="49" t="s">
        <v>791</v>
      </c>
      <c r="E17" s="49"/>
      <c r="F17" s="49"/>
      <c r="G17" s="49"/>
      <c r="H17" s="49"/>
      <c r="I17" s="49"/>
      <c r="J17" s="49"/>
      <c r="K17" s="49"/>
      <c r="L17" s="49"/>
      <c r="M17" s="49"/>
      <c r="N17" s="49"/>
      <c r="O17" s="49"/>
      <c r="P17" s="50"/>
      <c r="Q17" s="46"/>
      <c r="R17" s="46"/>
      <c r="S17" s="46"/>
      <c r="T17" s="46"/>
      <c r="U17" s="46"/>
    </row>
    <row r="18" spans="1:22">
      <c r="A18" s="46"/>
      <c r="B18" s="10"/>
      <c r="C18" s="11"/>
      <c r="D18" s="11" t="s">
        <v>68</v>
      </c>
      <c r="E18" s="11"/>
      <c r="F18" s="11"/>
      <c r="G18" s="11"/>
      <c r="H18" s="11"/>
      <c r="I18" s="11"/>
      <c r="J18" s="11"/>
      <c r="K18" s="11"/>
      <c r="L18" s="11"/>
      <c r="M18" s="11"/>
      <c r="N18" s="11"/>
      <c r="O18" s="11"/>
      <c r="P18" s="12"/>
      <c r="Q18" s="46"/>
      <c r="R18" s="46"/>
      <c r="S18" s="46"/>
      <c r="T18" s="46"/>
      <c r="U18" s="46"/>
    </row>
    <row r="19" spans="1:22">
      <c r="A19" s="46"/>
      <c r="B19" s="10"/>
      <c r="C19" s="11"/>
      <c r="D19" s="11" t="s">
        <v>69</v>
      </c>
      <c r="E19" s="11"/>
      <c r="F19" s="11"/>
      <c r="G19" s="11"/>
      <c r="H19" s="11"/>
      <c r="I19" s="11"/>
      <c r="J19" s="11"/>
      <c r="K19" s="11"/>
      <c r="L19" s="11"/>
      <c r="M19" s="11"/>
      <c r="N19" s="11"/>
      <c r="O19" s="11"/>
      <c r="P19" s="12"/>
      <c r="Q19" s="46"/>
      <c r="R19" s="46"/>
      <c r="S19" s="46"/>
      <c r="T19" s="46"/>
      <c r="U19" s="46"/>
    </row>
    <row r="20" spans="1:22">
      <c r="A20" s="46"/>
      <c r="B20" s="10"/>
      <c r="C20" s="11"/>
      <c r="D20" s="11" t="s">
        <v>70</v>
      </c>
      <c r="E20" s="11"/>
      <c r="F20" s="11"/>
      <c r="G20" s="11"/>
      <c r="H20" s="11"/>
      <c r="I20" s="11"/>
      <c r="J20" s="11"/>
      <c r="K20" s="11"/>
      <c r="L20" s="11"/>
      <c r="M20" s="11"/>
      <c r="N20" s="11"/>
      <c r="O20" s="11"/>
      <c r="P20" s="12"/>
      <c r="Q20" s="46"/>
      <c r="R20" s="46"/>
      <c r="S20" s="46"/>
      <c r="T20" s="46"/>
      <c r="U20" s="46"/>
      <c r="V20" s="40" t="s">
        <v>86</v>
      </c>
    </row>
    <row r="21" spans="1:22">
      <c r="A21" s="46"/>
      <c r="B21" s="10"/>
      <c r="C21" s="11"/>
      <c r="D21" s="11" t="s">
        <v>71</v>
      </c>
      <c r="E21" s="11"/>
      <c r="F21" s="11"/>
      <c r="G21" s="11"/>
      <c r="H21" s="11"/>
      <c r="I21" s="11"/>
      <c r="J21" s="11"/>
      <c r="K21" s="11"/>
      <c r="L21" s="11"/>
      <c r="M21" s="11"/>
      <c r="N21" s="11"/>
      <c r="O21" s="11"/>
      <c r="P21" s="12"/>
      <c r="Q21" s="46"/>
      <c r="R21" s="46"/>
      <c r="S21" s="46"/>
      <c r="T21" s="46"/>
      <c r="U21" s="46"/>
    </row>
    <row r="22" spans="1:22">
      <c r="A22" s="46"/>
      <c r="B22" s="10"/>
      <c r="C22" s="11"/>
      <c r="D22" s="11" t="s">
        <v>72</v>
      </c>
      <c r="E22" s="11"/>
      <c r="F22" s="11"/>
      <c r="G22" s="11"/>
      <c r="H22" s="11"/>
      <c r="I22" s="11"/>
      <c r="J22" s="11"/>
      <c r="K22" s="11"/>
      <c r="L22" s="11"/>
      <c r="M22" s="11"/>
      <c r="N22" s="11"/>
      <c r="O22" s="11"/>
      <c r="P22" s="12"/>
      <c r="Q22" s="46"/>
      <c r="R22" s="46"/>
      <c r="S22" s="46"/>
      <c r="T22" s="46"/>
      <c r="U22" s="46"/>
    </row>
    <row r="23" spans="1:22">
      <c r="A23" s="46"/>
      <c r="B23" s="10"/>
      <c r="C23" s="11"/>
      <c r="D23" s="11" t="s">
        <v>109</v>
      </c>
      <c r="E23" s="11"/>
      <c r="F23" s="11"/>
      <c r="G23" s="11"/>
      <c r="H23" s="11"/>
      <c r="I23" s="11"/>
      <c r="J23" s="11"/>
      <c r="K23" s="11"/>
      <c r="L23" s="11"/>
      <c r="M23" s="11"/>
      <c r="N23" s="11"/>
      <c r="O23" s="11"/>
      <c r="P23" s="12"/>
      <c r="Q23" s="46"/>
      <c r="R23" s="46"/>
      <c r="S23" s="46"/>
      <c r="T23" s="46"/>
      <c r="U23" s="46"/>
    </row>
    <row r="24" spans="1:22">
      <c r="A24" s="46"/>
      <c r="B24" s="10"/>
      <c r="C24" s="11"/>
      <c r="D24" s="11" t="s">
        <v>73</v>
      </c>
      <c r="E24" s="11"/>
      <c r="F24" s="11"/>
      <c r="G24" s="11"/>
      <c r="H24" s="11"/>
      <c r="I24" s="11"/>
      <c r="J24" s="11"/>
      <c r="K24" s="11"/>
      <c r="L24" s="11"/>
      <c r="M24" s="11"/>
      <c r="N24" s="11"/>
      <c r="O24" s="11"/>
      <c r="P24" s="12"/>
      <c r="Q24" s="46"/>
      <c r="R24" s="46"/>
      <c r="S24" s="46"/>
      <c r="T24" s="46"/>
      <c r="U24" s="46"/>
    </row>
    <row r="25" spans="1:22">
      <c r="A25" s="46"/>
      <c r="B25" s="10"/>
      <c r="C25" s="11"/>
      <c r="D25" s="11"/>
      <c r="E25" s="11"/>
      <c r="F25" s="11"/>
      <c r="G25" s="11"/>
      <c r="H25" s="11"/>
      <c r="I25" s="11"/>
      <c r="J25" s="11"/>
      <c r="K25" s="11"/>
      <c r="L25" s="11"/>
      <c r="M25" s="11"/>
      <c r="N25" s="11"/>
      <c r="O25" s="11"/>
      <c r="P25" s="12"/>
      <c r="Q25" s="46"/>
      <c r="R25" s="46"/>
      <c r="S25" s="46"/>
      <c r="T25" s="46"/>
      <c r="U25" s="46"/>
    </row>
    <row r="26" spans="1:22">
      <c r="A26" s="46"/>
      <c r="B26" s="10"/>
      <c r="C26" s="11"/>
      <c r="D26" s="11"/>
      <c r="E26" s="11"/>
      <c r="F26" s="11"/>
      <c r="G26" s="11"/>
      <c r="H26" s="11"/>
      <c r="I26" s="11"/>
      <c r="J26" s="11"/>
      <c r="K26" s="11"/>
      <c r="L26" s="11"/>
      <c r="M26" s="11"/>
      <c r="N26" s="11"/>
      <c r="O26" s="11"/>
      <c r="P26" s="12"/>
      <c r="Q26" s="46"/>
      <c r="R26" s="46"/>
      <c r="S26" s="46"/>
      <c r="T26" s="46"/>
      <c r="U26" s="46"/>
    </row>
    <row r="27" spans="1:22">
      <c r="A27" s="46"/>
      <c r="B27" s="10"/>
      <c r="C27" s="11" t="s">
        <v>67</v>
      </c>
      <c r="D27" s="11"/>
      <c r="E27" s="11"/>
      <c r="F27" s="11"/>
      <c r="G27" s="11"/>
      <c r="H27" s="11"/>
      <c r="I27" s="11"/>
      <c r="J27" s="11"/>
      <c r="K27" s="11"/>
      <c r="L27" s="11"/>
      <c r="M27" s="11"/>
      <c r="N27" s="11"/>
      <c r="O27" s="11"/>
      <c r="P27" s="12"/>
      <c r="Q27" s="46"/>
      <c r="R27" s="46"/>
      <c r="S27" s="46"/>
      <c r="T27" s="46"/>
      <c r="U27" s="46"/>
    </row>
    <row r="28" spans="1:22">
      <c r="A28" s="46"/>
      <c r="B28" s="10"/>
      <c r="C28" s="11"/>
      <c r="D28" s="49" t="s">
        <v>74</v>
      </c>
      <c r="E28" s="49"/>
      <c r="F28" s="49"/>
      <c r="G28" s="49"/>
      <c r="H28" s="49"/>
      <c r="I28" s="49"/>
      <c r="J28" s="49"/>
      <c r="K28" s="49"/>
      <c r="L28" s="49"/>
      <c r="M28" s="49"/>
      <c r="N28" s="49"/>
      <c r="O28" s="49"/>
      <c r="P28" s="50"/>
      <c r="Q28" s="46"/>
      <c r="R28" s="46"/>
      <c r="S28" s="46"/>
      <c r="T28" s="46"/>
      <c r="U28" s="46"/>
    </row>
    <row r="29" spans="1:22">
      <c r="A29" s="46"/>
      <c r="B29" s="10"/>
      <c r="C29" s="11"/>
      <c r="D29" s="11" t="s">
        <v>849</v>
      </c>
      <c r="E29" s="11"/>
      <c r="F29" s="11"/>
      <c r="G29" s="11"/>
      <c r="H29" s="11"/>
      <c r="I29" s="11"/>
      <c r="J29" s="11"/>
      <c r="K29" s="11"/>
      <c r="L29" s="11"/>
      <c r="M29" s="11"/>
      <c r="N29" s="11"/>
      <c r="O29" s="11"/>
      <c r="P29" s="12"/>
      <c r="Q29" s="46"/>
      <c r="R29" s="46"/>
      <c r="S29" s="46"/>
      <c r="T29" s="46"/>
      <c r="U29" s="46"/>
    </row>
    <row r="30" spans="1:22">
      <c r="A30" s="46"/>
      <c r="B30" s="10"/>
      <c r="C30" s="11"/>
      <c r="D30" s="11" t="s">
        <v>76</v>
      </c>
      <c r="E30" s="11"/>
      <c r="F30" s="11"/>
      <c r="G30" s="11"/>
      <c r="H30" s="11"/>
      <c r="I30" s="11"/>
      <c r="J30" s="11"/>
      <c r="K30" s="11"/>
      <c r="L30" s="11"/>
      <c r="M30" s="11"/>
      <c r="N30" s="11"/>
      <c r="O30" s="11"/>
      <c r="P30" s="12"/>
      <c r="Q30" s="46"/>
      <c r="R30" s="46"/>
      <c r="S30" s="46"/>
      <c r="T30" s="46"/>
      <c r="U30" s="46"/>
    </row>
    <row r="31" spans="1:22">
      <c r="A31" s="46"/>
      <c r="B31" s="10"/>
      <c r="C31" s="11"/>
      <c r="D31" s="11" t="s">
        <v>75</v>
      </c>
      <c r="E31" s="11"/>
      <c r="F31" s="11"/>
      <c r="G31" s="11"/>
      <c r="H31" s="11"/>
      <c r="I31" s="11"/>
      <c r="J31" s="11"/>
      <c r="K31" s="11"/>
      <c r="L31" s="11"/>
      <c r="M31" s="11"/>
      <c r="N31" s="11"/>
      <c r="O31" s="11"/>
      <c r="P31" s="12"/>
      <c r="Q31" s="46"/>
      <c r="R31" s="46"/>
      <c r="S31" s="46"/>
      <c r="T31" s="46"/>
      <c r="U31" s="46"/>
    </row>
    <row r="32" spans="1:22">
      <c r="A32" s="46"/>
      <c r="B32" s="10"/>
      <c r="C32" s="11"/>
      <c r="D32" s="11" t="s">
        <v>77</v>
      </c>
      <c r="E32" s="11"/>
      <c r="F32" s="11"/>
      <c r="G32" s="11"/>
      <c r="H32" s="11"/>
      <c r="I32" s="11"/>
      <c r="J32" s="11"/>
      <c r="K32" s="11"/>
      <c r="L32" s="11"/>
      <c r="M32" s="11"/>
      <c r="N32" s="11"/>
      <c r="O32" s="11"/>
      <c r="P32" s="12"/>
      <c r="Q32" s="46"/>
      <c r="R32" s="46"/>
      <c r="S32" s="46"/>
      <c r="T32" s="46"/>
      <c r="U32" s="46"/>
    </row>
    <row r="33" spans="1:21">
      <c r="A33" s="46"/>
      <c r="B33" s="10"/>
      <c r="C33" s="11"/>
      <c r="D33" s="11" t="s">
        <v>84</v>
      </c>
      <c r="E33" s="11"/>
      <c r="F33" s="11"/>
      <c r="G33" s="11"/>
      <c r="H33" s="11"/>
      <c r="I33" s="11"/>
      <c r="J33" s="11"/>
      <c r="K33" s="11"/>
      <c r="L33" s="11"/>
      <c r="M33" s="11"/>
      <c r="N33" s="11"/>
      <c r="O33" s="11"/>
      <c r="P33" s="12"/>
      <c r="Q33" s="46"/>
      <c r="R33" s="46"/>
      <c r="S33" s="46"/>
      <c r="T33" s="46"/>
      <c r="U33" s="46"/>
    </row>
    <row r="34" spans="1:21">
      <c r="A34" s="46"/>
      <c r="B34" s="10"/>
      <c r="C34" s="11"/>
      <c r="D34" s="11"/>
      <c r="E34" s="11"/>
      <c r="F34" s="11"/>
      <c r="G34" s="11"/>
      <c r="H34" s="11"/>
      <c r="I34" s="11"/>
      <c r="J34" s="11"/>
      <c r="K34" s="11"/>
      <c r="L34" s="11"/>
      <c r="M34" s="11"/>
      <c r="N34" s="11"/>
      <c r="O34" s="11"/>
      <c r="P34" s="12"/>
      <c r="Q34" s="46"/>
      <c r="R34" s="46"/>
      <c r="S34" s="46"/>
      <c r="T34" s="46"/>
      <c r="U34" s="46"/>
    </row>
    <row r="35" spans="1:21">
      <c r="A35" s="46"/>
      <c r="B35" s="10"/>
      <c r="C35" s="11"/>
      <c r="D35" s="49" t="s">
        <v>78</v>
      </c>
      <c r="E35" s="11"/>
      <c r="F35" s="11"/>
      <c r="G35" s="11"/>
      <c r="H35" s="11"/>
      <c r="I35" s="11"/>
      <c r="J35" s="11"/>
      <c r="K35" s="11"/>
      <c r="L35" s="11"/>
      <c r="M35" s="11"/>
      <c r="N35" s="11"/>
      <c r="O35" s="11"/>
      <c r="P35" s="12"/>
      <c r="Q35" s="46"/>
      <c r="R35" s="46"/>
      <c r="S35" s="46"/>
      <c r="T35" s="46"/>
      <c r="U35" s="46"/>
    </row>
    <row r="36" spans="1:21">
      <c r="A36" s="46"/>
      <c r="B36" s="10"/>
      <c r="C36" s="11"/>
      <c r="D36" s="11" t="s">
        <v>79</v>
      </c>
      <c r="E36" s="11"/>
      <c r="F36" s="11"/>
      <c r="G36" s="11"/>
      <c r="H36" s="11"/>
      <c r="I36" s="11"/>
      <c r="J36" s="11"/>
      <c r="K36" s="11"/>
      <c r="L36" s="11"/>
      <c r="M36" s="11"/>
      <c r="N36" s="11"/>
      <c r="O36" s="11"/>
      <c r="P36" s="12"/>
      <c r="Q36" s="46"/>
      <c r="R36" s="46"/>
      <c r="S36" s="46"/>
      <c r="T36" s="46"/>
      <c r="U36" s="46"/>
    </row>
    <row r="37" spans="1:21">
      <c r="A37" s="46"/>
      <c r="B37" s="10"/>
      <c r="C37" s="11"/>
      <c r="D37" s="11" t="s">
        <v>80</v>
      </c>
      <c r="E37" s="11"/>
      <c r="F37" s="11"/>
      <c r="G37" s="11"/>
      <c r="H37" s="11"/>
      <c r="I37" s="11"/>
      <c r="J37" s="11"/>
      <c r="K37" s="11"/>
      <c r="L37" s="11"/>
      <c r="M37" s="11"/>
      <c r="N37" s="11"/>
      <c r="O37" s="11"/>
      <c r="P37" s="12"/>
      <c r="Q37" s="46"/>
      <c r="R37" s="46"/>
      <c r="S37" s="46"/>
      <c r="T37" s="46"/>
      <c r="U37" s="46"/>
    </row>
    <row r="38" spans="1:21">
      <c r="A38" s="46"/>
      <c r="B38" s="10"/>
      <c r="C38" s="11"/>
      <c r="D38" s="11" t="s">
        <v>81</v>
      </c>
      <c r="E38" s="11"/>
      <c r="F38" s="11"/>
      <c r="G38" s="11"/>
      <c r="H38" s="11"/>
      <c r="I38" s="11"/>
      <c r="J38" s="11"/>
      <c r="K38" s="11"/>
      <c r="L38" s="11"/>
      <c r="M38" s="11"/>
      <c r="N38" s="11"/>
      <c r="O38" s="11"/>
      <c r="P38" s="12"/>
      <c r="Q38" s="46"/>
      <c r="R38" s="46"/>
      <c r="S38" s="46"/>
      <c r="T38" s="46"/>
      <c r="U38" s="46"/>
    </row>
    <row r="39" spans="1:21">
      <c r="A39" s="46"/>
      <c r="B39" s="10"/>
      <c r="C39" s="11"/>
      <c r="D39" s="11" t="s">
        <v>82</v>
      </c>
      <c r="E39" s="11"/>
      <c r="F39" s="11"/>
      <c r="G39" s="11"/>
      <c r="H39" s="11"/>
      <c r="I39" s="11"/>
      <c r="J39" s="11"/>
      <c r="K39" s="11"/>
      <c r="L39" s="11"/>
      <c r="M39" s="11"/>
      <c r="N39" s="11"/>
      <c r="O39" s="11"/>
      <c r="P39" s="12"/>
      <c r="Q39" s="46"/>
      <c r="R39" s="46"/>
      <c r="S39" s="46"/>
      <c r="T39" s="46"/>
      <c r="U39" s="46"/>
    </row>
    <row r="40" spans="1:21">
      <c r="A40" s="46"/>
      <c r="B40" s="17"/>
      <c r="C40" s="18"/>
      <c r="D40" s="18" t="s">
        <v>83</v>
      </c>
      <c r="E40" s="18"/>
      <c r="F40" s="18"/>
      <c r="G40" s="18"/>
      <c r="H40" s="18"/>
      <c r="I40" s="18"/>
      <c r="J40" s="18"/>
      <c r="K40" s="18"/>
      <c r="L40" s="18"/>
      <c r="M40" s="18"/>
      <c r="N40" s="18"/>
      <c r="O40" s="18"/>
      <c r="P40" s="19"/>
      <c r="Q40" s="46"/>
      <c r="R40" s="46"/>
      <c r="S40" s="46"/>
      <c r="T40" s="46"/>
      <c r="U40" s="46"/>
    </row>
    <row r="41" spans="1:21">
      <c r="A41" s="46"/>
      <c r="B41" s="46"/>
      <c r="C41" s="46"/>
      <c r="D41" s="46"/>
      <c r="E41" s="46"/>
      <c r="F41" s="46"/>
      <c r="G41" s="46"/>
      <c r="H41" s="46"/>
      <c r="I41" s="46"/>
      <c r="J41" s="46"/>
      <c r="K41" s="46"/>
      <c r="L41" s="46"/>
      <c r="M41" s="46"/>
      <c r="N41" s="46"/>
      <c r="O41" s="46"/>
      <c r="P41" s="46"/>
      <c r="Q41" s="46"/>
      <c r="R41" s="46"/>
      <c r="S41" s="46"/>
      <c r="T41" s="46"/>
      <c r="U41" s="46"/>
    </row>
    <row r="42" spans="1:21">
      <c r="A42" s="46"/>
      <c r="B42" s="7"/>
      <c r="C42" s="47" t="s">
        <v>85</v>
      </c>
      <c r="D42" s="8"/>
      <c r="E42" s="8"/>
      <c r="F42" s="8"/>
      <c r="G42" s="8"/>
      <c r="H42" s="8"/>
      <c r="I42" s="8"/>
      <c r="J42" s="8"/>
      <c r="K42" s="8"/>
      <c r="L42" s="8"/>
      <c r="M42" s="8"/>
      <c r="N42" s="8"/>
      <c r="O42" s="8"/>
      <c r="P42" s="9"/>
      <c r="Q42" s="46"/>
      <c r="R42" s="46"/>
      <c r="S42" s="46"/>
      <c r="T42" s="46"/>
      <c r="U42" s="46"/>
    </row>
    <row r="43" spans="1:21">
      <c r="A43" s="46"/>
      <c r="B43" s="10"/>
      <c r="C43" s="48" t="s">
        <v>66</v>
      </c>
      <c r="D43" s="11"/>
      <c r="E43" s="11"/>
      <c r="F43" s="11"/>
      <c r="G43" s="11"/>
      <c r="H43" s="11"/>
      <c r="I43" s="11"/>
      <c r="J43" s="11"/>
      <c r="K43" s="11"/>
      <c r="L43" s="11"/>
      <c r="M43" s="11"/>
      <c r="N43" s="11"/>
      <c r="O43" s="11"/>
      <c r="P43" s="12"/>
      <c r="Q43" s="46"/>
      <c r="R43" s="46"/>
      <c r="S43" s="46"/>
      <c r="T43" s="46"/>
      <c r="U43" s="46"/>
    </row>
    <row r="44" spans="1:21">
      <c r="A44" s="46"/>
      <c r="B44" s="10"/>
      <c r="C44" s="11"/>
      <c r="D44" s="49" t="s">
        <v>108</v>
      </c>
      <c r="E44" s="11"/>
      <c r="F44" s="11"/>
      <c r="G44" s="11"/>
      <c r="H44" s="11"/>
      <c r="I44" s="11"/>
      <c r="J44" s="11"/>
      <c r="K44" s="11"/>
      <c r="L44" s="11"/>
      <c r="M44" s="11"/>
      <c r="N44" s="11"/>
      <c r="O44" s="11"/>
      <c r="P44" s="12"/>
      <c r="Q44" s="46"/>
      <c r="R44" s="46"/>
      <c r="S44" s="46"/>
      <c r="T44" s="46"/>
      <c r="U44" s="46"/>
    </row>
    <row r="45" spans="1:21">
      <c r="A45" s="46"/>
      <c r="B45" s="10"/>
      <c r="C45" s="11"/>
      <c r="D45" s="11" t="s">
        <v>90</v>
      </c>
      <c r="E45" s="11"/>
      <c r="F45" s="11"/>
      <c r="G45" s="11"/>
      <c r="H45" s="11"/>
      <c r="I45" s="11"/>
      <c r="J45" s="11"/>
      <c r="K45" s="11"/>
      <c r="L45" s="11"/>
      <c r="M45" s="11"/>
      <c r="N45" s="11"/>
      <c r="O45" s="11"/>
      <c r="P45" s="12"/>
      <c r="Q45" s="46"/>
      <c r="R45" s="46"/>
      <c r="S45" s="46"/>
      <c r="T45" s="46"/>
      <c r="U45" s="46"/>
    </row>
    <row r="46" spans="1:21">
      <c r="A46" s="46"/>
      <c r="B46" s="10"/>
      <c r="C46" s="11"/>
      <c r="D46" s="11" t="s">
        <v>91</v>
      </c>
      <c r="E46" s="11"/>
      <c r="F46" s="11"/>
      <c r="G46" s="11"/>
      <c r="H46" s="11"/>
      <c r="I46" s="11"/>
      <c r="J46" s="11"/>
      <c r="K46" s="11"/>
      <c r="L46" s="11"/>
      <c r="M46" s="11"/>
      <c r="N46" s="11"/>
      <c r="O46" s="11"/>
      <c r="P46" s="12"/>
      <c r="Q46" s="46"/>
      <c r="R46" s="46"/>
      <c r="S46" s="46"/>
      <c r="T46" s="46"/>
      <c r="U46" s="46"/>
    </row>
    <row r="47" spans="1:21">
      <c r="A47" s="46"/>
      <c r="B47" s="10"/>
      <c r="C47" s="11"/>
      <c r="D47" s="11" t="s">
        <v>87</v>
      </c>
      <c r="E47" s="11"/>
      <c r="F47" s="11"/>
      <c r="G47" s="11"/>
      <c r="H47" s="11"/>
      <c r="I47" s="11"/>
      <c r="J47" s="11"/>
      <c r="K47" s="11"/>
      <c r="L47" s="11"/>
      <c r="M47" s="11"/>
      <c r="N47" s="11"/>
      <c r="O47" s="11"/>
      <c r="P47" s="12" t="s">
        <v>86</v>
      </c>
      <c r="Q47" s="46"/>
      <c r="R47" s="46"/>
      <c r="S47" s="46"/>
      <c r="T47" s="46"/>
      <c r="U47" s="46"/>
    </row>
    <row r="48" spans="1:21">
      <c r="A48" s="46"/>
      <c r="B48" s="10"/>
      <c r="C48" s="11"/>
      <c r="D48" s="11" t="s">
        <v>88</v>
      </c>
      <c r="E48" s="11"/>
      <c r="F48" s="11"/>
      <c r="G48" s="11"/>
      <c r="H48" s="11"/>
      <c r="I48" s="11"/>
      <c r="J48" s="11"/>
      <c r="K48" s="11"/>
      <c r="L48" s="11"/>
      <c r="M48" s="11"/>
      <c r="N48" s="11"/>
      <c r="O48" s="11"/>
      <c r="P48" s="12"/>
      <c r="Q48" s="46"/>
      <c r="R48" s="46"/>
      <c r="S48" s="46"/>
      <c r="T48" s="46"/>
      <c r="U48" s="46"/>
    </row>
    <row r="49" spans="1:21">
      <c r="A49" s="46"/>
      <c r="B49" s="10"/>
      <c r="C49" s="11"/>
      <c r="D49" s="11" t="s">
        <v>89</v>
      </c>
      <c r="E49" s="11"/>
      <c r="F49" s="11"/>
      <c r="G49" s="11"/>
      <c r="H49" s="11"/>
      <c r="I49" s="11"/>
      <c r="J49" s="11"/>
      <c r="K49" s="11"/>
      <c r="L49" s="11"/>
      <c r="M49" s="11"/>
      <c r="N49" s="11"/>
      <c r="O49" s="11"/>
      <c r="P49" s="12"/>
      <c r="Q49" s="46"/>
      <c r="R49" s="46"/>
      <c r="S49" s="46"/>
      <c r="T49" s="46"/>
      <c r="U49" s="46"/>
    </row>
    <row r="50" spans="1:21">
      <c r="A50" s="46"/>
      <c r="B50" s="10"/>
      <c r="C50" s="11"/>
      <c r="D50" s="11" t="s">
        <v>93</v>
      </c>
      <c r="E50" s="11"/>
      <c r="F50" s="11"/>
      <c r="G50" s="11"/>
      <c r="H50" s="11"/>
      <c r="I50" s="11"/>
      <c r="J50" s="11"/>
      <c r="K50" s="11"/>
      <c r="L50" s="11"/>
      <c r="M50" s="11"/>
      <c r="N50" s="11"/>
      <c r="O50" s="11"/>
      <c r="P50" s="12"/>
      <c r="Q50" s="46"/>
      <c r="R50" s="46"/>
      <c r="S50" s="46"/>
      <c r="T50" s="46"/>
      <c r="U50" s="46"/>
    </row>
    <row r="51" spans="1:21">
      <c r="A51" s="46"/>
      <c r="B51" s="10"/>
      <c r="C51" s="11"/>
      <c r="D51" s="11" t="s">
        <v>94</v>
      </c>
      <c r="E51" s="11"/>
      <c r="F51" s="11"/>
      <c r="G51" s="11"/>
      <c r="H51" s="11"/>
      <c r="I51" s="11"/>
      <c r="J51" s="11"/>
      <c r="K51" s="11"/>
      <c r="L51" s="11"/>
      <c r="M51" s="11"/>
      <c r="N51" s="11"/>
      <c r="O51" s="11"/>
      <c r="P51" s="12"/>
      <c r="Q51" s="46"/>
      <c r="R51" s="46"/>
      <c r="S51" s="46"/>
      <c r="T51" s="46"/>
      <c r="U51" s="46"/>
    </row>
    <row r="52" spans="1:21">
      <c r="A52" s="46"/>
      <c r="B52" s="10"/>
      <c r="C52" s="11"/>
      <c r="D52" s="11" t="s">
        <v>96</v>
      </c>
      <c r="E52" s="11"/>
      <c r="F52" s="11"/>
      <c r="G52" s="11"/>
      <c r="H52" s="11"/>
      <c r="I52" s="11"/>
      <c r="J52" s="11"/>
      <c r="K52" s="11"/>
      <c r="L52" s="11"/>
      <c r="M52" s="11"/>
      <c r="N52" s="11"/>
      <c r="O52" s="11"/>
      <c r="P52" s="12"/>
      <c r="Q52" s="46"/>
      <c r="R52" s="46"/>
      <c r="S52" s="46"/>
      <c r="T52" s="46"/>
      <c r="U52" s="46"/>
    </row>
    <row r="53" spans="1:21">
      <c r="A53" s="46"/>
      <c r="B53" s="10"/>
      <c r="C53" s="11"/>
      <c r="D53" s="11" t="s">
        <v>95</v>
      </c>
      <c r="E53" s="11"/>
      <c r="F53" s="11"/>
      <c r="G53" s="11"/>
      <c r="H53" s="11"/>
      <c r="I53" s="11"/>
      <c r="J53" s="11"/>
      <c r="K53" s="11"/>
      <c r="L53" s="11"/>
      <c r="M53" s="11"/>
      <c r="N53" s="11"/>
      <c r="O53" s="11"/>
      <c r="P53" s="12"/>
      <c r="Q53" s="46"/>
      <c r="R53" s="46"/>
      <c r="S53" s="46"/>
      <c r="T53" s="46"/>
      <c r="U53" s="46"/>
    </row>
    <row r="54" spans="1:21">
      <c r="A54" s="46"/>
      <c r="B54" s="10"/>
      <c r="C54" s="11"/>
      <c r="D54" s="11" t="s">
        <v>97</v>
      </c>
      <c r="E54" s="11"/>
      <c r="F54" s="11"/>
      <c r="G54" s="11"/>
      <c r="H54" s="11"/>
      <c r="I54" s="11"/>
      <c r="J54" s="11"/>
      <c r="K54" s="11"/>
      <c r="L54" s="11"/>
      <c r="M54" s="11"/>
      <c r="N54" s="11"/>
      <c r="O54" s="11"/>
      <c r="P54" s="12"/>
      <c r="Q54" s="46"/>
      <c r="R54" s="46"/>
      <c r="S54" s="46"/>
      <c r="T54" s="46"/>
      <c r="U54" s="46"/>
    </row>
    <row r="55" spans="1:21">
      <c r="A55" s="46"/>
      <c r="B55" s="10"/>
      <c r="C55" s="51"/>
      <c r="D55" s="11" t="s">
        <v>98</v>
      </c>
      <c r="E55" s="11"/>
      <c r="F55" s="11"/>
      <c r="G55" s="51"/>
      <c r="H55" s="11"/>
      <c r="I55" s="11"/>
      <c r="J55" s="11"/>
      <c r="K55" s="11"/>
      <c r="L55" s="11"/>
      <c r="M55" s="11"/>
      <c r="N55" s="11"/>
      <c r="O55" s="11"/>
      <c r="P55" s="12"/>
      <c r="Q55" s="46"/>
      <c r="R55" s="46"/>
      <c r="S55" s="46"/>
      <c r="T55" s="46"/>
      <c r="U55" s="46"/>
    </row>
    <row r="56" spans="1:21">
      <c r="A56" s="46"/>
      <c r="B56" s="10"/>
      <c r="C56" s="11"/>
      <c r="D56" s="11" t="s">
        <v>92</v>
      </c>
      <c r="E56" s="11"/>
      <c r="F56" s="11"/>
      <c r="G56" s="11"/>
      <c r="H56" s="11"/>
      <c r="I56" s="11"/>
      <c r="J56" s="11"/>
      <c r="K56" s="11"/>
      <c r="L56" s="11"/>
      <c r="M56" s="11"/>
      <c r="N56" s="11"/>
      <c r="O56" s="11"/>
      <c r="P56" s="12"/>
      <c r="Q56" s="46"/>
      <c r="R56" s="46"/>
      <c r="S56" s="46"/>
      <c r="T56" s="46"/>
      <c r="U56" s="46"/>
    </row>
    <row r="57" spans="1:21">
      <c r="A57" s="46"/>
      <c r="B57" s="10"/>
      <c r="C57" s="11" t="s">
        <v>67</v>
      </c>
      <c r="D57" s="11"/>
      <c r="E57" s="11"/>
      <c r="F57" s="11"/>
      <c r="G57" s="11"/>
      <c r="H57" s="11"/>
      <c r="I57" s="11"/>
      <c r="J57" s="11"/>
      <c r="K57" s="11"/>
      <c r="L57" s="11"/>
      <c r="M57" s="11"/>
      <c r="N57" s="11"/>
      <c r="O57" s="11"/>
      <c r="P57" s="12"/>
      <c r="Q57" s="46"/>
      <c r="R57" s="46"/>
      <c r="S57" s="46"/>
      <c r="T57" s="46"/>
      <c r="U57" s="46"/>
    </row>
    <row r="58" spans="1:21">
      <c r="A58" s="46"/>
      <c r="B58" s="10"/>
      <c r="C58" s="11"/>
      <c r="D58" s="49" t="s">
        <v>117</v>
      </c>
      <c r="E58" s="11"/>
      <c r="F58" s="11"/>
      <c r="G58" s="11"/>
      <c r="H58" s="11"/>
      <c r="I58" s="11"/>
      <c r="J58" s="11"/>
      <c r="K58" s="11"/>
      <c r="L58" s="11"/>
      <c r="M58" s="11"/>
      <c r="N58" s="11"/>
      <c r="O58" s="11"/>
      <c r="P58" s="12"/>
      <c r="Q58" s="46"/>
      <c r="R58" s="46"/>
      <c r="S58" s="46"/>
      <c r="T58" s="46"/>
      <c r="U58" s="46"/>
    </row>
    <row r="59" spans="1:21">
      <c r="A59" s="46"/>
      <c r="B59" s="10"/>
      <c r="C59" s="11"/>
      <c r="D59" s="11" t="s">
        <v>99</v>
      </c>
      <c r="E59" s="11"/>
      <c r="F59" s="11"/>
      <c r="G59" s="11"/>
      <c r="H59" s="11"/>
      <c r="I59" s="11"/>
      <c r="J59" s="11"/>
      <c r="K59" s="11"/>
      <c r="L59" s="11"/>
      <c r="M59" s="11"/>
      <c r="N59" s="11"/>
      <c r="O59" s="11"/>
      <c r="P59" s="12"/>
      <c r="Q59" s="46"/>
      <c r="R59" s="46"/>
      <c r="S59" s="46"/>
      <c r="T59" s="46"/>
      <c r="U59" s="46"/>
    </row>
    <row r="60" spans="1:21">
      <c r="A60" s="46"/>
      <c r="B60" s="10"/>
      <c r="C60" s="11"/>
      <c r="D60" s="11" t="s">
        <v>100</v>
      </c>
      <c r="E60" s="11"/>
      <c r="F60" s="11"/>
      <c r="G60" s="11"/>
      <c r="H60" s="11"/>
      <c r="I60" s="11"/>
      <c r="J60" s="11"/>
      <c r="K60" s="11"/>
      <c r="L60" s="11"/>
      <c r="M60" s="11"/>
      <c r="N60" s="11"/>
      <c r="O60" s="11"/>
      <c r="P60" s="12"/>
      <c r="Q60" s="46"/>
      <c r="R60" s="46"/>
      <c r="S60" s="46"/>
      <c r="T60" s="46"/>
      <c r="U60" s="46"/>
    </row>
    <row r="61" spans="1:21">
      <c r="A61" s="46"/>
      <c r="B61" s="10"/>
      <c r="C61" s="11"/>
      <c r="D61" s="11" t="s">
        <v>101</v>
      </c>
      <c r="E61" s="11"/>
      <c r="F61" s="11"/>
      <c r="G61" s="11"/>
      <c r="H61" s="11"/>
      <c r="I61" s="11"/>
      <c r="J61" s="11"/>
      <c r="K61" s="11"/>
      <c r="L61" s="11"/>
      <c r="M61" s="11"/>
      <c r="N61" s="11"/>
      <c r="O61" s="11"/>
      <c r="P61" s="12"/>
      <c r="Q61" s="46"/>
      <c r="R61" s="46"/>
      <c r="S61" s="46"/>
      <c r="T61" s="46"/>
      <c r="U61" s="46"/>
    </row>
    <row r="62" spans="1:21" ht="14.5" customHeight="1">
      <c r="A62" s="46"/>
      <c r="B62" s="10"/>
      <c r="C62" s="11"/>
      <c r="D62" s="11"/>
      <c r="E62" s="11"/>
      <c r="F62" s="515" t="s">
        <v>883</v>
      </c>
      <c r="G62" s="415"/>
      <c r="H62" s="676" t="s">
        <v>886</v>
      </c>
      <c r="I62" s="415"/>
      <c r="J62" s="11"/>
      <c r="K62" s="11"/>
      <c r="L62" s="11"/>
      <c r="M62" s="11"/>
      <c r="N62" s="11"/>
      <c r="O62" s="11"/>
      <c r="P62" s="12"/>
      <c r="Q62" s="46"/>
      <c r="R62" s="46"/>
      <c r="S62" s="46"/>
      <c r="T62" s="46"/>
      <c r="U62" s="46"/>
    </row>
    <row r="63" spans="1:21">
      <c r="A63" s="46"/>
      <c r="B63" s="10"/>
      <c r="C63" s="11"/>
      <c r="D63" s="11"/>
      <c r="E63" s="11"/>
      <c r="F63" s="675" t="s">
        <v>884</v>
      </c>
      <c r="G63" s="673"/>
      <c r="H63" s="677" t="s">
        <v>887</v>
      </c>
      <c r="I63" s="673"/>
      <c r="J63" s="11"/>
      <c r="K63" s="11"/>
      <c r="L63" s="11"/>
      <c r="M63" s="11"/>
      <c r="N63" s="11"/>
      <c r="O63" s="11"/>
      <c r="P63" s="12"/>
      <c r="Q63" s="46"/>
      <c r="R63" s="46"/>
      <c r="S63" s="46"/>
      <c r="T63" s="46"/>
      <c r="U63" s="46"/>
    </row>
    <row r="64" spans="1:21">
      <c r="A64" s="46"/>
      <c r="B64" s="10"/>
      <c r="C64" s="11"/>
      <c r="D64" s="11"/>
      <c r="E64" s="11"/>
      <c r="F64" s="519" t="s">
        <v>885</v>
      </c>
      <c r="G64" s="510"/>
      <c r="H64" s="509"/>
      <c r="I64" s="510"/>
      <c r="J64" s="11"/>
      <c r="K64" s="11"/>
      <c r="L64" s="11"/>
      <c r="M64" s="11"/>
      <c r="N64" s="11"/>
      <c r="O64" s="11"/>
      <c r="P64" s="12"/>
      <c r="Q64" s="46"/>
      <c r="R64" s="46"/>
      <c r="S64" s="46"/>
      <c r="T64" s="46"/>
      <c r="U64" s="46"/>
    </row>
    <row r="65" spans="1:21">
      <c r="A65" s="46"/>
      <c r="B65" s="10"/>
      <c r="C65" s="11"/>
      <c r="D65" s="11"/>
      <c r="E65" s="11"/>
      <c r="F65" s="669">
        <v>7.5</v>
      </c>
      <c r="G65" s="670"/>
      <c r="H65" s="671">
        <v>1.2</v>
      </c>
      <c r="I65" s="670"/>
      <c r="J65" s="11"/>
      <c r="K65" s="11"/>
      <c r="L65" s="11"/>
      <c r="M65" s="11"/>
      <c r="N65" s="11"/>
      <c r="O65" s="11"/>
      <c r="P65" s="12"/>
      <c r="Q65" s="46"/>
      <c r="R65" s="46"/>
      <c r="S65" s="46"/>
      <c r="T65" s="46"/>
      <c r="U65" s="46"/>
    </row>
    <row r="66" spans="1:21">
      <c r="A66" s="46"/>
      <c r="B66" s="10"/>
      <c r="C66" s="11"/>
      <c r="D66" s="11"/>
      <c r="E66" s="11"/>
      <c r="F66" s="669">
        <v>7.5</v>
      </c>
      <c r="G66" s="670"/>
      <c r="H66" s="671">
        <v>3.5</v>
      </c>
      <c r="I66" s="670"/>
      <c r="J66" s="11"/>
      <c r="K66" s="11"/>
      <c r="L66" s="11"/>
      <c r="M66" s="11"/>
      <c r="N66" s="11"/>
      <c r="O66" s="11"/>
      <c r="P66" s="12"/>
      <c r="Q66" s="46"/>
      <c r="R66" s="46"/>
      <c r="S66" s="46"/>
      <c r="T66" s="46"/>
      <c r="U66" s="46"/>
    </row>
    <row r="67" spans="1:21">
      <c r="A67" s="46"/>
      <c r="B67" s="10"/>
      <c r="C67" s="11"/>
      <c r="D67" s="11"/>
      <c r="E67" s="11"/>
      <c r="F67" s="669">
        <v>25</v>
      </c>
      <c r="G67" s="670"/>
      <c r="H67" s="671">
        <v>3.5</v>
      </c>
      <c r="I67" s="670"/>
      <c r="J67" s="11"/>
      <c r="K67" s="11"/>
      <c r="L67" s="11"/>
      <c r="M67" s="11"/>
      <c r="N67" s="11"/>
      <c r="O67" s="11"/>
      <c r="P67" s="12"/>
      <c r="Q67" s="46"/>
      <c r="R67" s="46"/>
      <c r="S67" s="46"/>
      <c r="T67" s="46"/>
      <c r="U67" s="46"/>
    </row>
    <row r="68" spans="1:21" ht="22" customHeight="1">
      <c r="A68" s="46"/>
      <c r="B68" s="10"/>
      <c r="C68" s="11"/>
      <c r="D68" s="11" t="s">
        <v>102</v>
      </c>
      <c r="E68" s="11"/>
      <c r="F68" s="11" t="s">
        <v>115</v>
      </c>
      <c r="G68" s="11"/>
      <c r="H68" s="11"/>
      <c r="I68" s="11"/>
      <c r="J68" s="11"/>
      <c r="K68" s="11"/>
      <c r="L68" s="11"/>
      <c r="M68" s="11"/>
      <c r="N68" s="11"/>
      <c r="O68" s="11"/>
      <c r="P68" s="12"/>
      <c r="Q68" s="46"/>
      <c r="R68" s="46"/>
      <c r="S68" s="46"/>
      <c r="T68" s="46"/>
      <c r="U68" s="46"/>
    </row>
    <row r="69" spans="1:21">
      <c r="A69" s="46"/>
      <c r="B69" s="10"/>
      <c r="C69" s="11"/>
      <c r="D69" s="11" t="s">
        <v>103</v>
      </c>
      <c r="E69" s="11"/>
      <c r="F69" s="11"/>
      <c r="G69" s="11"/>
      <c r="H69" s="11"/>
      <c r="I69" s="11"/>
      <c r="J69" s="11"/>
      <c r="K69" s="11"/>
      <c r="L69" s="11"/>
      <c r="M69" s="11"/>
      <c r="N69" s="11"/>
      <c r="O69" s="11"/>
      <c r="P69" s="12"/>
      <c r="Q69" s="46"/>
      <c r="R69" s="46"/>
      <c r="S69" s="46"/>
      <c r="T69" s="46"/>
      <c r="U69" s="46"/>
    </row>
    <row r="70" spans="1:21">
      <c r="A70" s="46"/>
      <c r="B70" s="10"/>
      <c r="C70" s="11"/>
      <c r="D70" s="11" t="s">
        <v>104</v>
      </c>
      <c r="E70" s="11"/>
      <c r="F70" s="11"/>
      <c r="G70" s="11"/>
      <c r="H70" s="11"/>
      <c r="I70" s="11"/>
      <c r="J70" s="11"/>
      <c r="K70" s="11"/>
      <c r="L70" s="11"/>
      <c r="M70" s="11"/>
      <c r="N70" s="11"/>
      <c r="O70" s="11"/>
      <c r="P70" s="12"/>
      <c r="Q70" s="46"/>
      <c r="R70" s="46"/>
      <c r="S70" s="46"/>
      <c r="T70" s="46"/>
      <c r="U70" s="46"/>
    </row>
    <row r="71" spans="1:21">
      <c r="A71" s="46"/>
      <c r="B71" s="10"/>
      <c r="C71" s="11"/>
      <c r="D71" s="11" t="s">
        <v>105</v>
      </c>
      <c r="E71" s="11"/>
      <c r="F71" s="11"/>
      <c r="G71" s="11"/>
      <c r="H71" s="11"/>
      <c r="I71" s="11"/>
      <c r="J71" s="11"/>
      <c r="K71" s="11"/>
      <c r="L71" s="11"/>
      <c r="M71" s="11"/>
      <c r="N71" s="11"/>
      <c r="O71" s="11"/>
      <c r="P71" s="12"/>
      <c r="Q71" s="46"/>
      <c r="R71" s="46"/>
      <c r="S71" s="46"/>
      <c r="T71" s="46"/>
      <c r="U71" s="46"/>
    </row>
    <row r="72" spans="1:21" ht="16.5">
      <c r="A72" s="46"/>
      <c r="B72" s="10"/>
      <c r="C72" s="11"/>
      <c r="D72" s="11" t="s">
        <v>746</v>
      </c>
      <c r="E72" s="11"/>
      <c r="F72" s="11"/>
      <c r="G72" s="11"/>
      <c r="H72" s="11"/>
      <c r="I72" s="11"/>
      <c r="J72" s="11"/>
      <c r="K72" s="11"/>
      <c r="L72" s="11"/>
      <c r="M72" s="11"/>
      <c r="N72" s="11"/>
      <c r="O72" s="11"/>
      <c r="P72" s="12"/>
      <c r="Q72" s="46"/>
      <c r="R72" s="46"/>
      <c r="S72" s="46"/>
      <c r="T72" s="46"/>
      <c r="U72" s="46"/>
    </row>
    <row r="73" spans="1:21">
      <c r="A73" s="46"/>
      <c r="B73" s="17"/>
      <c r="C73" s="18"/>
      <c r="D73" s="18" t="s">
        <v>106</v>
      </c>
      <c r="E73" s="18"/>
      <c r="F73" s="18"/>
      <c r="G73" s="18"/>
      <c r="H73" s="18"/>
      <c r="I73" s="18"/>
      <c r="J73" s="18"/>
      <c r="K73" s="18"/>
      <c r="L73" s="18"/>
      <c r="M73" s="18"/>
      <c r="N73" s="18"/>
      <c r="O73" s="18"/>
      <c r="P73" s="19"/>
      <c r="Q73" s="46"/>
      <c r="R73" s="46"/>
      <c r="S73" s="46"/>
      <c r="T73" s="46"/>
      <c r="U73" s="46"/>
    </row>
    <row r="74" spans="1:21">
      <c r="A74" s="46"/>
      <c r="B74" s="46"/>
      <c r="C74" s="46"/>
      <c r="D74" s="46"/>
      <c r="E74" s="46"/>
      <c r="F74" s="46"/>
      <c r="G74" s="46"/>
      <c r="H74" s="46"/>
      <c r="I74" s="46"/>
      <c r="J74" s="46"/>
      <c r="K74" s="46"/>
      <c r="L74" s="46"/>
      <c r="M74" s="46"/>
      <c r="N74" s="46"/>
      <c r="O74" s="46"/>
      <c r="P74" s="46"/>
      <c r="Q74" s="46"/>
      <c r="R74" s="46"/>
      <c r="S74" s="46"/>
      <c r="T74" s="46"/>
      <c r="U74" s="46"/>
    </row>
    <row r="75" spans="1:21">
      <c r="A75" s="46"/>
      <c r="B75" s="7"/>
      <c r="C75" s="47" t="s">
        <v>107</v>
      </c>
      <c r="D75" s="8"/>
      <c r="E75" s="8"/>
      <c r="F75" s="8"/>
      <c r="G75" s="8"/>
      <c r="H75" s="8"/>
      <c r="I75" s="8"/>
      <c r="J75" s="8"/>
      <c r="K75" s="8"/>
      <c r="L75" s="8"/>
      <c r="M75" s="8"/>
      <c r="N75" s="8"/>
      <c r="O75" s="8"/>
      <c r="P75" s="9"/>
      <c r="Q75" s="46"/>
      <c r="R75" s="46"/>
      <c r="S75" s="46"/>
      <c r="T75" s="46"/>
      <c r="U75" s="46"/>
    </row>
    <row r="76" spans="1:21">
      <c r="A76" s="46"/>
      <c r="B76" s="10"/>
      <c r="C76" s="48" t="s">
        <v>66</v>
      </c>
      <c r="D76" s="11"/>
      <c r="E76" s="11"/>
      <c r="F76" s="11"/>
      <c r="G76" s="11"/>
      <c r="H76" s="11"/>
      <c r="I76" s="11"/>
      <c r="J76" s="11"/>
      <c r="K76" s="11"/>
      <c r="L76" s="11"/>
      <c r="M76" s="11"/>
      <c r="N76" s="11"/>
      <c r="O76" s="11"/>
      <c r="P76" s="12"/>
      <c r="Q76" s="46"/>
      <c r="R76" s="46"/>
      <c r="S76" s="46"/>
      <c r="T76" s="46"/>
      <c r="U76" s="46"/>
    </row>
    <row r="77" spans="1:21">
      <c r="A77" s="46"/>
      <c r="B77" s="10"/>
      <c r="C77" s="11"/>
      <c r="D77" s="52" t="s">
        <v>110</v>
      </c>
      <c r="E77" s="11"/>
      <c r="F77" s="11"/>
      <c r="G77" s="11"/>
      <c r="H77" s="11"/>
      <c r="I77" s="11"/>
      <c r="J77" s="11"/>
      <c r="K77" s="11"/>
      <c r="L77" s="11"/>
      <c r="M77" s="11"/>
      <c r="N77" s="11"/>
      <c r="O77" s="11"/>
      <c r="P77" s="12"/>
      <c r="Q77" s="46"/>
      <c r="R77" s="46"/>
      <c r="S77" s="46"/>
      <c r="T77" s="46"/>
      <c r="U77" s="46"/>
    </row>
    <row r="78" spans="1:21">
      <c r="A78" s="46"/>
      <c r="B78" s="10"/>
      <c r="C78" s="11"/>
      <c r="D78" s="52" t="s">
        <v>111</v>
      </c>
      <c r="E78" s="11"/>
      <c r="F78" s="11"/>
      <c r="G78" s="11"/>
      <c r="H78" s="11"/>
      <c r="I78" s="11"/>
      <c r="J78" s="11"/>
      <c r="K78" s="11"/>
      <c r="L78" s="11"/>
      <c r="M78" s="11"/>
      <c r="N78" s="11"/>
      <c r="O78" s="11"/>
      <c r="P78" s="12"/>
      <c r="Q78" s="46"/>
      <c r="R78" s="46"/>
      <c r="S78" s="46"/>
      <c r="T78" s="46"/>
      <c r="U78" s="46"/>
    </row>
    <row r="79" spans="1:21">
      <c r="A79" s="46"/>
      <c r="B79" s="10"/>
      <c r="C79" s="11"/>
      <c r="D79" s="52" t="s">
        <v>116</v>
      </c>
      <c r="E79" s="11"/>
      <c r="F79" s="11"/>
      <c r="G79" s="11"/>
      <c r="H79" s="11"/>
      <c r="I79" s="11"/>
      <c r="J79" s="11"/>
      <c r="K79" s="11"/>
      <c r="L79" s="11"/>
      <c r="M79" s="11"/>
      <c r="N79" s="11"/>
      <c r="O79" s="11"/>
      <c r="P79" s="12"/>
      <c r="Q79" s="46"/>
      <c r="R79" s="46"/>
      <c r="S79" s="46"/>
      <c r="T79" s="46"/>
      <c r="U79" s="46"/>
    </row>
    <row r="80" spans="1:21">
      <c r="A80" s="46"/>
      <c r="B80" s="10"/>
      <c r="C80" s="11"/>
      <c r="D80" s="52" t="s">
        <v>112</v>
      </c>
      <c r="E80" s="11"/>
      <c r="F80" s="11"/>
      <c r="G80" s="11"/>
      <c r="H80" s="11"/>
      <c r="I80" s="11"/>
      <c r="J80" s="11"/>
      <c r="K80" s="11"/>
      <c r="L80" s="11"/>
      <c r="M80" s="11"/>
      <c r="N80" s="11"/>
      <c r="O80" s="11"/>
      <c r="P80" s="12"/>
      <c r="Q80" s="46"/>
      <c r="R80" s="46"/>
      <c r="S80" s="46"/>
      <c r="T80" s="46"/>
      <c r="U80" s="46"/>
    </row>
    <row r="81" spans="1:21">
      <c r="A81" s="46"/>
      <c r="B81" s="10"/>
      <c r="C81" s="11"/>
      <c r="D81" s="11" t="s">
        <v>113</v>
      </c>
      <c r="E81" s="11"/>
      <c r="F81" s="11"/>
      <c r="G81" s="11"/>
      <c r="H81" s="11"/>
      <c r="I81" s="11"/>
      <c r="J81" s="11"/>
      <c r="K81" s="11"/>
      <c r="L81" s="11"/>
      <c r="M81" s="11"/>
      <c r="N81" s="11"/>
      <c r="O81" s="11"/>
      <c r="P81" s="12"/>
      <c r="Q81" s="46"/>
      <c r="R81" s="46"/>
      <c r="S81" s="46"/>
      <c r="T81" s="46"/>
      <c r="U81" s="46"/>
    </row>
    <row r="82" spans="1:21">
      <c r="A82" s="46"/>
      <c r="B82" s="10"/>
      <c r="C82" s="11"/>
      <c r="D82" s="11" t="s">
        <v>171</v>
      </c>
      <c r="E82" s="11"/>
      <c r="F82" s="11"/>
      <c r="G82" s="11"/>
      <c r="H82" s="11"/>
      <c r="I82" s="11"/>
      <c r="J82" s="11"/>
      <c r="K82" s="11"/>
      <c r="L82" s="11"/>
      <c r="M82" s="11"/>
      <c r="N82" s="11"/>
      <c r="O82" s="11"/>
      <c r="P82" s="12"/>
      <c r="Q82" s="46"/>
      <c r="R82" s="46"/>
      <c r="S82" s="46"/>
      <c r="T82" s="46"/>
      <c r="U82" s="46"/>
    </row>
    <row r="83" spans="1:21" s="40" customFormat="1">
      <c r="A83" s="46"/>
      <c r="B83" s="10"/>
      <c r="C83" s="11"/>
      <c r="D83" s="11" t="s">
        <v>172</v>
      </c>
      <c r="E83" s="11"/>
      <c r="F83" s="11"/>
      <c r="G83" s="11"/>
      <c r="H83" s="11"/>
      <c r="I83" s="11"/>
      <c r="J83" s="11"/>
      <c r="K83" s="11"/>
      <c r="L83" s="11"/>
      <c r="M83" s="11"/>
      <c r="N83" s="11"/>
      <c r="O83" s="11"/>
      <c r="P83" s="12"/>
      <c r="Q83" s="46"/>
      <c r="R83" s="46"/>
      <c r="S83" s="46"/>
      <c r="T83" s="46"/>
      <c r="U83" s="46"/>
    </row>
    <row r="84" spans="1:21">
      <c r="A84" s="46"/>
      <c r="B84" s="10"/>
      <c r="C84" s="11"/>
      <c r="D84" s="11" t="s">
        <v>120</v>
      </c>
      <c r="E84" s="11"/>
      <c r="F84" s="11"/>
      <c r="G84" s="11"/>
      <c r="H84" s="11"/>
      <c r="I84" s="11"/>
      <c r="J84" s="11"/>
      <c r="K84" s="11"/>
      <c r="L84" s="11"/>
      <c r="M84" s="11"/>
      <c r="N84" s="11"/>
      <c r="O84" s="11"/>
      <c r="P84" s="12"/>
      <c r="Q84" s="46"/>
      <c r="R84" s="46"/>
      <c r="S84" s="46"/>
      <c r="T84" s="46"/>
      <c r="U84" s="46"/>
    </row>
    <row r="85" spans="1:21">
      <c r="A85" s="46"/>
      <c r="B85" s="10"/>
      <c r="C85" s="11"/>
      <c r="D85" s="11" t="s">
        <v>121</v>
      </c>
      <c r="E85" s="11"/>
      <c r="F85" s="11"/>
      <c r="G85" s="11"/>
      <c r="H85" s="11"/>
      <c r="I85" s="11"/>
      <c r="J85" s="11"/>
      <c r="K85" s="11"/>
      <c r="L85" s="11"/>
      <c r="M85" s="11"/>
      <c r="N85" s="11"/>
      <c r="O85" s="11"/>
      <c r="P85" s="12"/>
      <c r="Q85" s="46"/>
      <c r="R85" s="46"/>
      <c r="S85" s="46"/>
      <c r="T85" s="46"/>
      <c r="U85" s="46"/>
    </row>
    <row r="86" spans="1:21">
      <c r="A86" s="46"/>
      <c r="B86" s="10"/>
      <c r="C86" s="11"/>
      <c r="D86" s="11" t="s">
        <v>175</v>
      </c>
      <c r="E86" s="11"/>
      <c r="F86" s="11"/>
      <c r="G86" s="11"/>
      <c r="H86" s="11"/>
      <c r="I86" s="11"/>
      <c r="J86" s="11"/>
      <c r="K86" s="11"/>
      <c r="L86" s="11"/>
      <c r="M86" s="11"/>
      <c r="N86" s="11"/>
      <c r="O86" s="11"/>
      <c r="P86" s="12"/>
      <c r="Q86" s="46"/>
      <c r="R86" s="46"/>
      <c r="S86" s="46"/>
      <c r="T86" s="46"/>
      <c r="U86" s="46"/>
    </row>
    <row r="87" spans="1:21" s="40" customFormat="1">
      <c r="A87" s="46"/>
      <c r="B87" s="10"/>
      <c r="C87" s="11"/>
      <c r="D87" s="11" t="s">
        <v>176</v>
      </c>
      <c r="E87" s="11"/>
      <c r="F87" s="11"/>
      <c r="G87" s="11"/>
      <c r="H87" s="11"/>
      <c r="I87" s="11"/>
      <c r="J87" s="11"/>
      <c r="K87" s="11"/>
      <c r="L87" s="11"/>
      <c r="M87" s="11"/>
      <c r="N87" s="11"/>
      <c r="O87" s="11"/>
      <c r="P87" s="12"/>
      <c r="Q87" s="46"/>
      <c r="R87" s="46"/>
      <c r="S87" s="46"/>
      <c r="T87" s="46"/>
      <c r="U87" s="46"/>
    </row>
    <row r="88" spans="1:21">
      <c r="A88" s="46"/>
      <c r="B88" s="10"/>
      <c r="C88" s="11"/>
      <c r="D88" s="11" t="s">
        <v>173</v>
      </c>
      <c r="E88" s="11"/>
      <c r="F88" s="11"/>
      <c r="G88" s="11"/>
      <c r="H88" s="11"/>
      <c r="I88" s="11"/>
      <c r="J88" s="11"/>
      <c r="K88" s="11"/>
      <c r="L88" s="11"/>
      <c r="M88" s="11"/>
      <c r="N88" s="11"/>
      <c r="O88" s="11"/>
      <c r="P88" s="12"/>
      <c r="Q88" s="46"/>
      <c r="R88" s="46"/>
      <c r="S88" s="46"/>
      <c r="T88" s="46"/>
      <c r="U88" s="46"/>
    </row>
    <row r="89" spans="1:21">
      <c r="A89" s="46"/>
      <c r="B89" s="10"/>
      <c r="C89" s="11"/>
      <c r="D89" s="11" t="s">
        <v>174</v>
      </c>
      <c r="E89" s="11"/>
      <c r="F89" s="11"/>
      <c r="G89" s="11"/>
      <c r="H89" s="11"/>
      <c r="I89" s="11"/>
      <c r="J89" s="11"/>
      <c r="K89" s="11"/>
      <c r="L89" s="11"/>
      <c r="M89" s="11"/>
      <c r="N89" s="11"/>
      <c r="O89" s="11"/>
      <c r="P89" s="12"/>
      <c r="Q89" s="46"/>
      <c r="R89" s="46"/>
      <c r="S89" s="46"/>
      <c r="T89" s="46"/>
      <c r="U89" s="46"/>
    </row>
    <row r="90" spans="1:21">
      <c r="A90" s="46"/>
      <c r="B90" s="10"/>
      <c r="C90" s="11"/>
      <c r="D90" s="11" t="s">
        <v>177</v>
      </c>
      <c r="E90" s="11"/>
      <c r="F90" s="11"/>
      <c r="G90" s="11"/>
      <c r="H90" s="11"/>
      <c r="I90" s="11"/>
      <c r="J90" s="11"/>
      <c r="K90" s="11"/>
      <c r="L90" s="11"/>
      <c r="M90" s="11"/>
      <c r="N90" s="11"/>
      <c r="O90" s="11"/>
      <c r="P90" s="12"/>
      <c r="Q90" s="46"/>
      <c r="R90" s="46"/>
      <c r="S90" s="46"/>
      <c r="T90" s="46"/>
      <c r="U90" s="46"/>
    </row>
    <row r="91" spans="1:21">
      <c r="A91" s="46"/>
      <c r="B91" s="10"/>
      <c r="C91" s="11"/>
      <c r="D91" s="11" t="s">
        <v>178</v>
      </c>
      <c r="E91" s="11"/>
      <c r="F91" s="11"/>
      <c r="G91" s="11"/>
      <c r="H91" s="11"/>
      <c r="I91" s="11"/>
      <c r="J91" s="11"/>
      <c r="K91" s="11"/>
      <c r="L91" s="11"/>
      <c r="M91" s="11"/>
      <c r="N91" s="11"/>
      <c r="O91" s="11"/>
      <c r="P91" s="12"/>
      <c r="Q91" s="46"/>
      <c r="R91" s="46"/>
      <c r="S91" s="46"/>
      <c r="T91" s="46"/>
      <c r="U91" s="46"/>
    </row>
    <row r="92" spans="1:21">
      <c r="A92" s="46"/>
      <c r="B92" s="10"/>
      <c r="C92" s="11"/>
      <c r="D92" s="11" t="s">
        <v>179</v>
      </c>
      <c r="E92" s="11"/>
      <c r="F92" s="11"/>
      <c r="G92" s="11"/>
      <c r="H92" s="11"/>
      <c r="I92" s="11"/>
      <c r="J92" s="11"/>
      <c r="K92" s="11"/>
      <c r="L92" s="11"/>
      <c r="M92" s="11"/>
      <c r="N92" s="11"/>
      <c r="O92" s="11"/>
      <c r="P92" s="12"/>
      <c r="Q92" s="46"/>
      <c r="R92" s="46"/>
      <c r="S92" s="46"/>
      <c r="T92" s="46"/>
      <c r="U92" s="46"/>
    </row>
    <row r="93" spans="1:21">
      <c r="A93" s="46"/>
      <c r="B93" s="10"/>
      <c r="C93" s="11"/>
      <c r="D93" s="11" t="s">
        <v>180</v>
      </c>
      <c r="E93" s="11"/>
      <c r="F93" s="11"/>
      <c r="G93" s="11"/>
      <c r="H93" s="11"/>
      <c r="I93" s="11"/>
      <c r="J93" s="11"/>
      <c r="K93" s="11"/>
      <c r="L93" s="11"/>
      <c r="M93" s="11"/>
      <c r="N93" s="11"/>
      <c r="O93" s="11"/>
      <c r="P93" s="12"/>
      <c r="Q93" s="46"/>
      <c r="R93" s="46"/>
      <c r="S93" s="46"/>
      <c r="T93" s="46"/>
      <c r="U93" s="46"/>
    </row>
    <row r="94" spans="1:21">
      <c r="A94" s="46"/>
      <c r="B94" s="10"/>
      <c r="C94" s="11"/>
      <c r="D94" s="11" t="s">
        <v>114</v>
      </c>
      <c r="E94" s="11"/>
      <c r="F94" s="11"/>
      <c r="G94" s="11"/>
      <c r="H94" s="11"/>
      <c r="I94" s="11"/>
      <c r="J94" s="11"/>
      <c r="K94" s="11"/>
      <c r="L94" s="11"/>
      <c r="M94" s="11"/>
      <c r="N94" s="11"/>
      <c r="O94" s="11"/>
      <c r="P94" s="12"/>
      <c r="Q94" s="46"/>
      <c r="R94" s="46"/>
      <c r="S94" s="46"/>
      <c r="T94" s="46"/>
      <c r="U94" s="46"/>
    </row>
    <row r="95" spans="1:21">
      <c r="A95" s="46"/>
      <c r="B95" s="10"/>
      <c r="C95" s="11"/>
      <c r="D95" s="11" t="s">
        <v>182</v>
      </c>
      <c r="E95" s="11"/>
      <c r="F95" s="11"/>
      <c r="G95" s="11"/>
      <c r="H95" s="11"/>
      <c r="I95" s="11"/>
      <c r="J95" s="11"/>
      <c r="K95" s="11"/>
      <c r="L95" s="11"/>
      <c r="M95" s="11"/>
      <c r="N95" s="11"/>
      <c r="O95" s="11"/>
      <c r="P95" s="12"/>
      <c r="Q95" s="46"/>
      <c r="R95" s="46"/>
      <c r="S95" s="46"/>
      <c r="T95" s="46"/>
      <c r="U95" s="46"/>
    </row>
    <row r="96" spans="1:21">
      <c r="A96" s="46"/>
      <c r="B96" s="10"/>
      <c r="C96" s="11"/>
      <c r="D96" s="11" t="s">
        <v>181</v>
      </c>
      <c r="E96" s="11"/>
      <c r="F96" s="11"/>
      <c r="G96" s="11"/>
      <c r="H96" s="11"/>
      <c r="I96" s="11"/>
      <c r="J96" s="11"/>
      <c r="K96" s="11"/>
      <c r="L96" s="11"/>
      <c r="M96" s="11"/>
      <c r="N96" s="11"/>
      <c r="O96" s="11"/>
      <c r="P96" s="12"/>
      <c r="Q96" s="46"/>
      <c r="R96" s="46"/>
      <c r="S96" s="46"/>
      <c r="T96" s="46"/>
      <c r="U96" s="46"/>
    </row>
    <row r="97" spans="1:21">
      <c r="A97" s="46"/>
      <c r="B97" s="10"/>
      <c r="C97" s="11" t="s">
        <v>67</v>
      </c>
      <c r="D97" s="11"/>
      <c r="E97" s="11"/>
      <c r="F97" s="11"/>
      <c r="G97" s="11"/>
      <c r="H97" s="11"/>
      <c r="I97" s="11"/>
      <c r="J97" s="11"/>
      <c r="K97" s="11"/>
      <c r="L97" s="11"/>
      <c r="M97" s="11"/>
      <c r="N97" s="11"/>
      <c r="O97" s="11"/>
      <c r="P97" s="12"/>
      <c r="Q97" s="46"/>
      <c r="R97" s="46"/>
      <c r="S97" s="46"/>
      <c r="T97" s="46"/>
      <c r="U97" s="46"/>
    </row>
    <row r="98" spans="1:21">
      <c r="A98" s="46"/>
      <c r="B98" s="10"/>
      <c r="C98" s="11"/>
      <c r="D98" s="11" t="s">
        <v>183</v>
      </c>
      <c r="E98" s="11"/>
      <c r="F98" s="11"/>
      <c r="G98" s="11"/>
      <c r="H98" s="11"/>
      <c r="I98" s="11"/>
      <c r="J98" s="11"/>
      <c r="K98" s="11"/>
      <c r="L98" s="11"/>
      <c r="M98" s="11"/>
      <c r="N98" s="11"/>
      <c r="O98" s="11"/>
      <c r="P98" s="12"/>
      <c r="Q98" s="46"/>
      <c r="R98" s="46"/>
      <c r="S98" s="46"/>
      <c r="T98" s="46"/>
      <c r="U98" s="46"/>
    </row>
    <row r="99" spans="1:21">
      <c r="A99" s="46"/>
      <c r="B99" s="10"/>
      <c r="C99" s="11"/>
      <c r="D99" s="11" t="s">
        <v>184</v>
      </c>
      <c r="E99" s="11"/>
      <c r="F99" s="11"/>
      <c r="G99" s="11"/>
      <c r="H99" s="11"/>
      <c r="I99" s="11"/>
      <c r="J99" s="11"/>
      <c r="K99" s="11"/>
      <c r="L99" s="11"/>
      <c r="M99" s="11"/>
      <c r="N99" s="11"/>
      <c r="O99" s="11"/>
      <c r="P99" s="12"/>
      <c r="Q99" s="46"/>
      <c r="R99" s="46"/>
      <c r="S99" s="46"/>
      <c r="T99" s="46"/>
      <c r="U99" s="46"/>
    </row>
    <row r="100" spans="1:21">
      <c r="A100" s="46"/>
      <c r="B100" s="10"/>
      <c r="C100" s="11"/>
      <c r="D100" s="11" t="s">
        <v>185</v>
      </c>
      <c r="E100" s="11"/>
      <c r="F100" s="11"/>
      <c r="G100" s="11"/>
      <c r="H100" s="11"/>
      <c r="I100" s="11"/>
      <c r="J100" s="11"/>
      <c r="K100" s="11"/>
      <c r="L100" s="11"/>
      <c r="M100" s="11"/>
      <c r="N100" s="11"/>
      <c r="O100" s="11"/>
      <c r="P100" s="12"/>
      <c r="Q100" s="46"/>
      <c r="R100" s="46"/>
      <c r="S100" s="46"/>
      <c r="T100" s="46"/>
      <c r="U100" s="46"/>
    </row>
    <row r="101" spans="1:21">
      <c r="A101" s="46"/>
      <c r="B101" s="10"/>
      <c r="C101" s="11"/>
      <c r="D101" s="53" t="s">
        <v>186</v>
      </c>
      <c r="E101" s="11"/>
      <c r="F101" s="11"/>
      <c r="G101" s="11"/>
      <c r="H101" s="11"/>
      <c r="I101" s="11"/>
      <c r="J101" s="11"/>
      <c r="K101" s="11"/>
      <c r="L101" s="11"/>
      <c r="M101" s="11"/>
      <c r="N101" s="11"/>
      <c r="O101" s="11"/>
      <c r="P101" s="12"/>
      <c r="Q101" s="46"/>
      <c r="R101" s="46"/>
      <c r="S101" s="46"/>
      <c r="T101" s="46"/>
      <c r="U101" s="46"/>
    </row>
    <row r="102" spans="1:21">
      <c r="A102" s="46"/>
      <c r="B102" s="10"/>
      <c r="C102" s="11"/>
      <c r="D102" s="11" t="s">
        <v>187</v>
      </c>
      <c r="E102" s="11"/>
      <c r="F102" s="11"/>
      <c r="G102" s="11"/>
      <c r="H102" s="11"/>
      <c r="I102" s="11"/>
      <c r="J102" s="11"/>
      <c r="K102" s="11"/>
      <c r="L102" s="11"/>
      <c r="M102" s="11"/>
      <c r="N102" s="11"/>
      <c r="O102" s="11"/>
      <c r="P102" s="12"/>
      <c r="Q102" s="46"/>
      <c r="R102" s="46"/>
      <c r="S102" s="46"/>
      <c r="T102" s="46"/>
      <c r="U102" s="46"/>
    </row>
    <row r="103" spans="1:21">
      <c r="A103" s="46"/>
      <c r="B103" s="17"/>
      <c r="C103" s="18"/>
      <c r="D103" s="18" t="s">
        <v>188</v>
      </c>
      <c r="E103" s="18"/>
      <c r="F103" s="18"/>
      <c r="G103" s="18"/>
      <c r="H103" s="18"/>
      <c r="I103" s="18"/>
      <c r="J103" s="18"/>
      <c r="K103" s="18"/>
      <c r="L103" s="18"/>
      <c r="M103" s="18"/>
      <c r="N103" s="18"/>
      <c r="O103" s="18"/>
      <c r="P103" s="19"/>
      <c r="Q103" s="46"/>
      <c r="R103" s="46"/>
      <c r="S103" s="46"/>
      <c r="T103" s="46"/>
      <c r="U103" s="46"/>
    </row>
    <row r="104" spans="1:21">
      <c r="A104" s="46"/>
      <c r="B104" s="46"/>
      <c r="C104" s="46"/>
      <c r="D104" s="46"/>
      <c r="E104" s="46"/>
      <c r="F104" s="46"/>
      <c r="G104" s="46"/>
      <c r="H104" s="46"/>
      <c r="I104" s="46"/>
      <c r="J104" s="46"/>
      <c r="K104" s="46"/>
      <c r="L104" s="46"/>
      <c r="M104" s="46"/>
      <c r="N104" s="46"/>
      <c r="O104" s="46"/>
      <c r="P104" s="46"/>
      <c r="Q104" s="46"/>
      <c r="R104" s="46"/>
      <c r="S104" s="46"/>
      <c r="T104" s="46"/>
      <c r="U104" s="46"/>
    </row>
    <row r="105" spans="1:21">
      <c r="A105" s="46"/>
      <c r="B105" s="7"/>
      <c r="C105" s="47" t="s">
        <v>118</v>
      </c>
      <c r="D105" s="8"/>
      <c r="E105" s="8"/>
      <c r="F105" s="8"/>
      <c r="G105" s="8"/>
      <c r="H105" s="8"/>
      <c r="I105" s="8"/>
      <c r="J105" s="8"/>
      <c r="K105" s="8"/>
      <c r="L105" s="8"/>
      <c r="M105" s="8"/>
      <c r="N105" s="8"/>
      <c r="O105" s="8"/>
      <c r="P105" s="9"/>
      <c r="Q105" s="46"/>
      <c r="R105" s="46"/>
      <c r="S105" s="46"/>
      <c r="T105" s="46"/>
      <c r="U105" s="46"/>
    </row>
    <row r="106" spans="1:21">
      <c r="A106" s="46"/>
      <c r="B106" s="10"/>
      <c r="C106" s="48" t="s">
        <v>66</v>
      </c>
      <c r="D106" s="11"/>
      <c r="E106" s="11"/>
      <c r="F106" s="11"/>
      <c r="G106" s="11"/>
      <c r="H106" s="11"/>
      <c r="I106" s="11"/>
      <c r="J106" s="11"/>
      <c r="K106" s="11"/>
      <c r="L106" s="11"/>
      <c r="M106" s="11"/>
      <c r="N106" s="11"/>
      <c r="O106" s="11"/>
      <c r="P106" s="12"/>
      <c r="Q106" s="46"/>
      <c r="R106" s="46"/>
      <c r="S106" s="46"/>
      <c r="T106" s="46"/>
      <c r="U106" s="46"/>
    </row>
    <row r="107" spans="1:21">
      <c r="A107" s="46"/>
      <c r="B107" s="10"/>
      <c r="C107" s="11"/>
      <c r="D107" s="11" t="s">
        <v>153</v>
      </c>
      <c r="E107" s="11"/>
      <c r="F107" s="11"/>
      <c r="G107" s="11"/>
      <c r="H107" s="11"/>
      <c r="I107" s="11"/>
      <c r="J107" s="11"/>
      <c r="K107" s="11"/>
      <c r="L107" s="11"/>
      <c r="M107" s="11"/>
      <c r="N107" s="11"/>
      <c r="O107" s="11"/>
      <c r="P107" s="12"/>
      <c r="Q107" s="46"/>
      <c r="R107" s="46"/>
      <c r="S107" s="46"/>
      <c r="T107" s="46"/>
      <c r="U107" s="46"/>
    </row>
    <row r="108" spans="1:21" s="40" customFormat="1">
      <c r="A108" s="46"/>
      <c r="B108" s="10"/>
      <c r="C108" s="11"/>
      <c r="D108" s="11" t="s">
        <v>154</v>
      </c>
      <c r="E108" s="11"/>
      <c r="F108" s="11"/>
      <c r="G108" s="11"/>
      <c r="H108" s="11"/>
      <c r="I108" s="11"/>
      <c r="J108" s="11"/>
      <c r="K108" s="11"/>
      <c r="L108" s="11"/>
      <c r="M108" s="11"/>
      <c r="N108" s="11"/>
      <c r="O108" s="11"/>
      <c r="P108" s="12"/>
      <c r="Q108" s="46"/>
      <c r="R108" s="46"/>
      <c r="S108" s="46"/>
      <c r="T108" s="46"/>
      <c r="U108" s="46"/>
    </row>
    <row r="109" spans="1:21" ht="15" thickBot="1">
      <c r="A109" s="46"/>
      <c r="B109" s="10"/>
      <c r="C109" s="11"/>
      <c r="D109" s="54" t="s">
        <v>124</v>
      </c>
      <c r="E109" s="11"/>
      <c r="F109" s="11"/>
      <c r="G109" s="11"/>
      <c r="H109" s="11"/>
      <c r="I109" s="11" t="s">
        <v>152</v>
      </c>
      <c r="J109" s="11"/>
      <c r="K109" s="11"/>
      <c r="L109" s="11"/>
      <c r="M109" s="11"/>
      <c r="N109" s="11"/>
      <c r="O109" s="11"/>
      <c r="P109" s="12"/>
      <c r="Q109" s="46"/>
      <c r="R109" s="46"/>
      <c r="S109" s="46"/>
      <c r="T109" s="46"/>
      <c r="U109" s="46"/>
    </row>
    <row r="110" spans="1:21" ht="38.5" customHeight="1" thickBot="1">
      <c r="A110" s="46"/>
      <c r="B110" s="10"/>
      <c r="C110" s="11"/>
      <c r="D110" s="735" t="s">
        <v>125</v>
      </c>
      <c r="E110" s="736" t="s">
        <v>126</v>
      </c>
      <c r="F110" s="736" t="s">
        <v>127</v>
      </c>
      <c r="G110" s="736" t="s">
        <v>128</v>
      </c>
      <c r="H110" s="736" t="s">
        <v>129</v>
      </c>
      <c r="I110" s="11"/>
      <c r="J110" s="11"/>
      <c r="K110" s="11"/>
      <c r="L110" s="11"/>
      <c r="M110" s="11"/>
      <c r="N110" s="11"/>
      <c r="O110" s="11"/>
      <c r="P110" s="12"/>
      <c r="Q110" s="46"/>
      <c r="R110" s="46"/>
      <c r="S110" s="46"/>
      <c r="T110" s="46"/>
      <c r="U110" s="46"/>
    </row>
    <row r="111" spans="1:21" ht="26.5" thickBot="1">
      <c r="A111" s="46"/>
      <c r="B111" s="10"/>
      <c r="C111" s="11"/>
      <c r="D111" s="55" t="s">
        <v>130</v>
      </c>
      <c r="E111" s="56" t="s">
        <v>131</v>
      </c>
      <c r="F111" s="56" t="s">
        <v>132</v>
      </c>
      <c r="G111" s="56" t="s">
        <v>133</v>
      </c>
      <c r="H111" s="56" t="s">
        <v>134</v>
      </c>
      <c r="I111" s="11"/>
      <c r="J111" s="11"/>
      <c r="K111" s="11"/>
      <c r="L111" s="11"/>
      <c r="M111" s="11"/>
      <c r="N111" s="11"/>
      <c r="O111" s="11"/>
      <c r="P111" s="12"/>
      <c r="Q111" s="46"/>
      <c r="R111" s="46"/>
      <c r="S111" s="46"/>
      <c r="T111" s="46"/>
      <c r="U111" s="46"/>
    </row>
    <row r="112" spans="1:21" ht="26.5" thickBot="1">
      <c r="A112" s="46"/>
      <c r="B112" s="10"/>
      <c r="C112" s="11"/>
      <c r="D112" s="55" t="s">
        <v>135</v>
      </c>
      <c r="E112" s="56" t="s">
        <v>131</v>
      </c>
      <c r="F112" s="56" t="s">
        <v>132</v>
      </c>
      <c r="G112" s="56" t="s">
        <v>136</v>
      </c>
      <c r="H112" s="56" t="s">
        <v>137</v>
      </c>
      <c r="I112" s="11"/>
      <c r="J112" s="11"/>
      <c r="K112" s="11"/>
      <c r="L112" s="11"/>
      <c r="M112" s="11"/>
      <c r="N112" s="11"/>
      <c r="O112" s="11"/>
      <c r="P112" s="12"/>
      <c r="Q112" s="46"/>
      <c r="R112" s="46"/>
      <c r="S112" s="46"/>
      <c r="T112" s="46"/>
      <c r="U112" s="46"/>
    </row>
    <row r="113" spans="1:21" ht="26.5" thickBot="1">
      <c r="A113" s="46"/>
      <c r="B113" s="10"/>
      <c r="C113" s="11"/>
      <c r="D113" s="55" t="s">
        <v>138</v>
      </c>
      <c r="E113" s="56" t="s">
        <v>131</v>
      </c>
      <c r="F113" s="56" t="s">
        <v>139</v>
      </c>
      <c r="G113" s="56" t="s">
        <v>133</v>
      </c>
      <c r="H113" s="56" t="s">
        <v>140</v>
      </c>
      <c r="I113" s="11"/>
      <c r="J113" s="11"/>
      <c r="K113" s="11"/>
      <c r="L113" s="11"/>
      <c r="M113" s="11"/>
      <c r="N113" s="11"/>
      <c r="O113" s="11"/>
      <c r="P113" s="12"/>
      <c r="Q113" s="46"/>
      <c r="R113" s="46"/>
      <c r="S113" s="46"/>
      <c r="T113" s="46"/>
      <c r="U113" s="46"/>
    </row>
    <row r="114" spans="1:21" ht="26.5" thickBot="1">
      <c r="A114" s="46"/>
      <c r="B114" s="10"/>
      <c r="C114" s="11"/>
      <c r="D114" s="55" t="s">
        <v>141</v>
      </c>
      <c r="E114" s="56" t="s">
        <v>131</v>
      </c>
      <c r="F114" s="56" t="s">
        <v>142</v>
      </c>
      <c r="G114" s="56" t="s">
        <v>136</v>
      </c>
      <c r="H114" s="56" t="s">
        <v>143</v>
      </c>
      <c r="I114" s="11"/>
      <c r="J114" s="11"/>
      <c r="K114" s="11"/>
      <c r="L114" s="11"/>
      <c r="M114" s="11"/>
      <c r="N114" s="11"/>
      <c r="O114" s="11"/>
      <c r="P114" s="12"/>
      <c r="Q114" s="46"/>
      <c r="R114" s="46"/>
      <c r="S114" s="46"/>
      <c r="T114" s="46"/>
      <c r="U114" s="46"/>
    </row>
    <row r="115" spans="1:21" ht="39.5" thickBot="1">
      <c r="A115" s="46"/>
      <c r="B115" s="10"/>
      <c r="C115" s="11"/>
      <c r="D115" s="55" t="s">
        <v>144</v>
      </c>
      <c r="E115" s="56" t="s">
        <v>145</v>
      </c>
      <c r="F115" s="56" t="s">
        <v>146</v>
      </c>
      <c r="G115" s="56" t="s">
        <v>147</v>
      </c>
      <c r="H115" s="56" t="s">
        <v>148</v>
      </c>
      <c r="I115" s="11"/>
      <c r="J115" s="11"/>
      <c r="K115" s="11"/>
      <c r="L115" s="11"/>
      <c r="M115" s="11"/>
      <c r="N115" s="11"/>
      <c r="O115" s="11"/>
      <c r="P115" s="12"/>
      <c r="Q115" s="46"/>
      <c r="R115" s="46"/>
      <c r="S115" s="46"/>
      <c r="T115" s="46"/>
      <c r="U115" s="46"/>
    </row>
    <row r="116" spans="1:21" ht="26.5" thickBot="1">
      <c r="A116" s="46"/>
      <c r="B116" s="10"/>
      <c r="C116" s="11"/>
      <c r="D116" s="55" t="s">
        <v>149</v>
      </c>
      <c r="E116" s="56" t="s">
        <v>145</v>
      </c>
      <c r="F116" s="56" t="s">
        <v>146</v>
      </c>
      <c r="G116" s="56" t="s">
        <v>150</v>
      </c>
      <c r="H116" s="56" t="s">
        <v>151</v>
      </c>
      <c r="I116" s="11"/>
      <c r="J116" s="11"/>
      <c r="K116" s="11"/>
      <c r="L116" s="11"/>
      <c r="M116" s="11"/>
      <c r="N116" s="11"/>
      <c r="O116" s="11"/>
      <c r="P116" s="12"/>
      <c r="Q116" s="46"/>
      <c r="R116" s="46"/>
      <c r="S116" s="46"/>
      <c r="T116" s="46"/>
      <c r="U116" s="46"/>
    </row>
    <row r="117" spans="1:21">
      <c r="A117" s="46"/>
      <c r="B117" s="10"/>
      <c r="C117" s="11"/>
      <c r="D117" s="11"/>
      <c r="E117" s="11"/>
      <c r="F117" s="11"/>
      <c r="G117" s="11"/>
      <c r="H117" s="11"/>
      <c r="I117" s="11"/>
      <c r="J117" s="11"/>
      <c r="K117" s="11"/>
      <c r="L117" s="11"/>
      <c r="M117" s="11"/>
      <c r="N117" s="11"/>
      <c r="O117" s="11"/>
      <c r="P117" s="12"/>
      <c r="Q117" s="46"/>
      <c r="R117" s="46"/>
      <c r="S117" s="46"/>
      <c r="T117" s="46"/>
      <c r="U117" s="46"/>
    </row>
    <row r="118" spans="1:21">
      <c r="A118" s="46"/>
      <c r="B118" s="10"/>
      <c r="C118" s="14" t="s">
        <v>155</v>
      </c>
      <c r="D118" s="11" t="s">
        <v>156</v>
      </c>
      <c r="E118" s="11"/>
      <c r="F118" s="11"/>
      <c r="G118" s="11"/>
      <c r="H118" s="11"/>
      <c r="I118" s="11"/>
      <c r="J118" s="11"/>
      <c r="K118" s="11"/>
      <c r="L118" s="11"/>
      <c r="M118" s="11"/>
      <c r="N118" s="11"/>
      <c r="O118" s="11"/>
      <c r="P118" s="12"/>
      <c r="Q118" s="46"/>
      <c r="R118" s="46"/>
      <c r="S118" s="46"/>
      <c r="T118" s="46"/>
      <c r="U118" s="46"/>
    </row>
    <row r="119" spans="1:21">
      <c r="A119" s="46"/>
      <c r="B119" s="10"/>
      <c r="C119" s="11"/>
      <c r="D119" s="11" t="s">
        <v>157</v>
      </c>
      <c r="E119" s="11"/>
      <c r="F119" s="11"/>
      <c r="G119" s="11"/>
      <c r="H119" s="11"/>
      <c r="I119" s="11"/>
      <c r="J119" s="11"/>
      <c r="K119" s="11"/>
      <c r="L119" s="11"/>
      <c r="M119" s="11"/>
      <c r="N119" s="11"/>
      <c r="O119" s="11"/>
      <c r="P119" s="12"/>
      <c r="Q119" s="46"/>
      <c r="R119" s="46"/>
      <c r="S119" s="46"/>
      <c r="T119" s="46"/>
      <c r="U119" s="46"/>
    </row>
    <row r="120" spans="1:21">
      <c r="A120" s="46"/>
      <c r="B120" s="10"/>
      <c r="C120" s="11"/>
      <c r="D120" s="11"/>
      <c r="E120" s="11"/>
      <c r="F120" s="11"/>
      <c r="G120" s="11"/>
      <c r="H120" s="11"/>
      <c r="I120" s="11"/>
      <c r="J120" s="11"/>
      <c r="K120" s="11"/>
      <c r="L120" s="11"/>
      <c r="M120" s="11"/>
      <c r="N120" s="11"/>
      <c r="O120" s="11"/>
      <c r="P120" s="12"/>
      <c r="Q120" s="46"/>
      <c r="R120" s="46"/>
      <c r="S120" s="46"/>
      <c r="T120" s="46"/>
      <c r="U120" s="46"/>
    </row>
    <row r="121" spans="1:21">
      <c r="A121" s="46"/>
      <c r="B121" s="10"/>
      <c r="C121" s="11" t="s">
        <v>67</v>
      </c>
      <c r="D121" s="11"/>
      <c r="E121" s="11"/>
      <c r="F121" s="11"/>
      <c r="G121" s="11"/>
      <c r="H121" s="11"/>
      <c r="I121" s="11"/>
      <c r="J121" s="11"/>
      <c r="K121" s="11"/>
      <c r="L121" s="11"/>
      <c r="M121" s="11"/>
      <c r="N121" s="11"/>
      <c r="O121" s="11"/>
      <c r="P121" s="12"/>
      <c r="Q121" s="46"/>
      <c r="R121" s="46"/>
      <c r="S121" s="46"/>
      <c r="T121" s="46"/>
      <c r="U121" s="46"/>
    </row>
    <row r="122" spans="1:21">
      <c r="A122" s="46"/>
      <c r="B122" s="10"/>
      <c r="C122" s="11"/>
      <c r="D122" s="11" t="s">
        <v>122</v>
      </c>
      <c r="E122" s="11"/>
      <c r="F122" s="11"/>
      <c r="G122" s="11"/>
      <c r="H122" s="11"/>
      <c r="I122" s="11"/>
      <c r="J122" s="11"/>
      <c r="K122" s="11"/>
      <c r="L122" s="11"/>
      <c r="M122" s="11"/>
      <c r="N122" s="11"/>
      <c r="O122" s="11"/>
      <c r="P122" s="12"/>
      <c r="Q122" s="46"/>
      <c r="R122" s="46"/>
      <c r="S122" s="46"/>
      <c r="T122" s="46"/>
      <c r="U122" s="46"/>
    </row>
    <row r="123" spans="1:21">
      <c r="A123" s="46"/>
      <c r="B123" s="10"/>
      <c r="C123" s="11"/>
      <c r="D123" s="11" t="s">
        <v>123</v>
      </c>
      <c r="E123" s="11"/>
      <c r="F123" s="11"/>
      <c r="G123" s="11"/>
      <c r="H123" s="11"/>
      <c r="I123" s="11"/>
      <c r="J123" s="11"/>
      <c r="K123" s="11"/>
      <c r="L123" s="11"/>
      <c r="M123" s="11"/>
      <c r="N123" s="11"/>
      <c r="O123" s="11"/>
      <c r="P123" s="12"/>
      <c r="Q123" s="46"/>
      <c r="R123" s="46"/>
      <c r="S123" s="46"/>
      <c r="T123" s="46"/>
      <c r="U123" s="46"/>
    </row>
    <row r="124" spans="1:21">
      <c r="A124" s="46"/>
      <c r="B124" s="10"/>
      <c r="C124" s="11"/>
      <c r="D124" s="53" t="s">
        <v>160</v>
      </c>
      <c r="E124" s="11"/>
      <c r="F124" s="11"/>
      <c r="G124" s="11"/>
      <c r="H124" s="11"/>
      <c r="I124" s="11"/>
      <c r="J124" s="11"/>
      <c r="K124" s="11"/>
      <c r="L124" s="11"/>
      <c r="M124" s="11"/>
      <c r="N124" s="11"/>
      <c r="O124" s="11"/>
      <c r="P124" s="12"/>
      <c r="Q124" s="46"/>
      <c r="R124" s="46"/>
      <c r="S124" s="46"/>
      <c r="T124" s="46"/>
      <c r="U124" s="46"/>
    </row>
    <row r="125" spans="1:21">
      <c r="A125" s="46"/>
      <c r="B125" s="10"/>
      <c r="C125" s="11"/>
      <c r="D125" s="11" t="s">
        <v>158</v>
      </c>
      <c r="E125" s="11"/>
      <c r="F125" s="11"/>
      <c r="G125" s="11"/>
      <c r="H125" s="11"/>
      <c r="I125" s="11"/>
      <c r="J125" s="11"/>
      <c r="K125" s="11"/>
      <c r="L125" s="11"/>
      <c r="M125" s="11"/>
      <c r="N125" s="11"/>
      <c r="O125" s="11"/>
      <c r="P125" s="12"/>
      <c r="Q125" s="46"/>
      <c r="R125" s="46"/>
      <c r="S125" s="46"/>
      <c r="T125" s="46"/>
      <c r="U125" s="46"/>
    </row>
    <row r="126" spans="1:21">
      <c r="A126" s="46"/>
      <c r="B126" s="10"/>
      <c r="C126" s="11"/>
      <c r="D126" s="11" t="s">
        <v>159</v>
      </c>
      <c r="E126" s="11"/>
      <c r="F126" s="11"/>
      <c r="G126" s="11"/>
      <c r="H126" s="11"/>
      <c r="I126" s="11"/>
      <c r="J126" s="11"/>
      <c r="K126" s="11"/>
      <c r="L126" s="11"/>
      <c r="M126" s="11"/>
      <c r="N126" s="11"/>
      <c r="O126" s="11"/>
      <c r="P126" s="12"/>
      <c r="Q126" s="46"/>
      <c r="R126" s="46"/>
      <c r="S126" s="46"/>
      <c r="T126" s="46"/>
      <c r="U126" s="46"/>
    </row>
    <row r="127" spans="1:21">
      <c r="A127" s="46"/>
      <c r="B127" s="10"/>
      <c r="C127" s="11"/>
      <c r="D127" s="11" t="s">
        <v>161</v>
      </c>
      <c r="E127" s="11"/>
      <c r="F127" s="11"/>
      <c r="G127" s="11"/>
      <c r="H127" s="11"/>
      <c r="I127" s="11"/>
      <c r="J127" s="11"/>
      <c r="K127" s="11"/>
      <c r="L127" s="11"/>
      <c r="M127" s="11"/>
      <c r="N127" s="11"/>
      <c r="O127" s="11"/>
      <c r="P127" s="12"/>
      <c r="Q127" s="46"/>
      <c r="R127" s="46"/>
      <c r="S127" s="46"/>
      <c r="T127" s="46"/>
      <c r="U127" s="46"/>
    </row>
    <row r="128" spans="1:21">
      <c r="A128" s="46"/>
      <c r="B128" s="10"/>
      <c r="C128" s="11"/>
      <c r="D128" s="11" t="s">
        <v>165</v>
      </c>
      <c r="E128" s="11"/>
      <c r="F128" s="11"/>
      <c r="G128" s="11"/>
      <c r="H128" s="11"/>
      <c r="I128" s="11"/>
      <c r="J128" s="11"/>
      <c r="K128" s="11"/>
      <c r="L128" s="11"/>
      <c r="M128" s="11"/>
      <c r="N128" s="11"/>
      <c r="O128" s="11"/>
      <c r="P128" s="12"/>
      <c r="Q128" s="46"/>
      <c r="R128" s="46"/>
      <c r="S128" s="46"/>
      <c r="T128" s="46"/>
      <c r="U128" s="46"/>
    </row>
    <row r="129" spans="1:21" s="40" customFormat="1">
      <c r="A129" s="46"/>
      <c r="B129" s="10"/>
      <c r="C129" s="11"/>
      <c r="D129" s="11" t="s">
        <v>166</v>
      </c>
      <c r="E129" s="11"/>
      <c r="F129" s="11"/>
      <c r="G129" s="11"/>
      <c r="H129" s="11"/>
      <c r="I129" s="11"/>
      <c r="J129" s="11"/>
      <c r="K129" s="11"/>
      <c r="L129" s="11"/>
      <c r="M129" s="11"/>
      <c r="N129" s="11"/>
      <c r="O129" s="11"/>
      <c r="P129" s="12"/>
      <c r="Q129" s="46"/>
      <c r="R129" s="46"/>
      <c r="S129" s="46"/>
      <c r="T129" s="46"/>
      <c r="U129" s="46"/>
    </row>
    <row r="130" spans="1:21">
      <c r="A130" s="46"/>
      <c r="B130" s="10"/>
      <c r="C130" s="11"/>
      <c r="D130" s="53" t="s">
        <v>167</v>
      </c>
      <c r="E130" s="11"/>
      <c r="F130" s="11"/>
      <c r="G130" s="11"/>
      <c r="H130" s="11"/>
      <c r="I130" s="11"/>
      <c r="J130" s="11"/>
      <c r="K130" s="11"/>
      <c r="L130" s="11"/>
      <c r="M130" s="11"/>
      <c r="N130" s="11"/>
      <c r="O130" s="11"/>
      <c r="P130" s="12"/>
      <c r="Q130" s="46"/>
      <c r="R130" s="46"/>
      <c r="S130" s="46"/>
      <c r="T130" s="46"/>
      <c r="U130" s="46"/>
    </row>
    <row r="131" spans="1:21" s="40" customFormat="1">
      <c r="A131" s="46"/>
      <c r="B131" s="10"/>
      <c r="C131" s="11"/>
      <c r="D131" s="53" t="s">
        <v>168</v>
      </c>
      <c r="E131" s="11"/>
      <c r="F131" s="11"/>
      <c r="G131" s="11"/>
      <c r="H131" s="11"/>
      <c r="I131" s="11"/>
      <c r="J131" s="11"/>
      <c r="K131" s="11"/>
      <c r="L131" s="11"/>
      <c r="M131" s="11"/>
      <c r="N131" s="11"/>
      <c r="O131" s="11"/>
      <c r="P131" s="12"/>
      <c r="Q131" s="46"/>
      <c r="R131" s="46"/>
      <c r="S131" s="46"/>
      <c r="T131" s="46"/>
      <c r="U131" s="46"/>
    </row>
    <row r="132" spans="1:21">
      <c r="A132" s="46"/>
      <c r="B132" s="10"/>
      <c r="C132" s="11"/>
      <c r="D132" s="11" t="s">
        <v>162</v>
      </c>
      <c r="E132" s="11"/>
      <c r="F132" s="11"/>
      <c r="G132" s="11"/>
      <c r="H132" s="11"/>
      <c r="I132" s="11"/>
      <c r="J132" s="11"/>
      <c r="K132" s="11"/>
      <c r="L132" s="11"/>
      <c r="M132" s="11"/>
      <c r="N132" s="11"/>
      <c r="O132" s="11"/>
      <c r="P132" s="12"/>
      <c r="Q132" s="46"/>
      <c r="R132" s="46"/>
      <c r="S132" s="46"/>
      <c r="T132" s="46"/>
      <c r="U132" s="46"/>
    </row>
    <row r="133" spans="1:21">
      <c r="A133" s="46"/>
      <c r="B133" s="10"/>
      <c r="C133" s="11"/>
      <c r="D133" s="11" t="s">
        <v>163</v>
      </c>
      <c r="E133" s="11"/>
      <c r="F133" s="11"/>
      <c r="G133" s="11"/>
      <c r="H133" s="11"/>
      <c r="I133" s="11"/>
      <c r="J133" s="11"/>
      <c r="K133" s="11"/>
      <c r="L133" s="11"/>
      <c r="M133" s="11"/>
      <c r="N133" s="11"/>
      <c r="O133" s="11"/>
      <c r="P133" s="12"/>
      <c r="Q133" s="46"/>
      <c r="R133" s="46"/>
      <c r="S133" s="46"/>
      <c r="T133" s="46"/>
      <c r="U133" s="46"/>
    </row>
    <row r="134" spans="1:21">
      <c r="A134" s="46"/>
      <c r="B134" s="10"/>
      <c r="C134" s="11"/>
      <c r="D134" s="11" t="s">
        <v>169</v>
      </c>
      <c r="E134" s="11"/>
      <c r="F134" s="11"/>
      <c r="G134" s="11"/>
      <c r="H134" s="11"/>
      <c r="I134" s="11"/>
      <c r="J134" s="11"/>
      <c r="K134" s="11"/>
      <c r="L134" s="11"/>
      <c r="M134" s="11"/>
      <c r="N134" s="11"/>
      <c r="O134" s="11"/>
      <c r="P134" s="12"/>
      <c r="Q134" s="46"/>
      <c r="R134" s="46"/>
      <c r="S134" s="46"/>
      <c r="T134" s="46"/>
      <c r="U134" s="46"/>
    </row>
    <row r="135" spans="1:21" s="40" customFormat="1">
      <c r="A135" s="46"/>
      <c r="B135" s="10"/>
      <c r="C135" s="11"/>
      <c r="D135" s="11" t="s">
        <v>170</v>
      </c>
      <c r="E135" s="11"/>
      <c r="F135" s="11"/>
      <c r="G135" s="11"/>
      <c r="H135" s="11"/>
      <c r="I135" s="11"/>
      <c r="J135" s="11"/>
      <c r="K135" s="11"/>
      <c r="L135" s="11"/>
      <c r="M135" s="11"/>
      <c r="N135" s="11"/>
      <c r="O135" s="11"/>
      <c r="P135" s="12"/>
      <c r="Q135" s="46"/>
      <c r="R135" s="46"/>
      <c r="S135" s="46"/>
      <c r="T135" s="46"/>
      <c r="U135" s="46"/>
    </row>
    <row r="136" spans="1:21">
      <c r="A136" s="46"/>
      <c r="B136" s="17"/>
      <c r="C136" s="18"/>
      <c r="D136" s="18" t="s">
        <v>164</v>
      </c>
      <c r="E136" s="18"/>
      <c r="F136" s="18"/>
      <c r="G136" s="18"/>
      <c r="H136" s="18"/>
      <c r="I136" s="18"/>
      <c r="J136" s="18"/>
      <c r="K136" s="18"/>
      <c r="L136" s="18"/>
      <c r="M136" s="18"/>
      <c r="N136" s="18"/>
      <c r="O136" s="18"/>
      <c r="P136" s="19"/>
      <c r="Q136" s="46"/>
      <c r="R136" s="46"/>
      <c r="S136" s="46"/>
      <c r="T136" s="46"/>
      <c r="U136" s="46"/>
    </row>
    <row r="137" spans="1:21">
      <c r="A137" s="46"/>
      <c r="B137" s="46"/>
      <c r="C137" s="46"/>
      <c r="D137" s="46"/>
      <c r="E137" s="46"/>
      <c r="F137" s="46"/>
      <c r="G137" s="46"/>
      <c r="H137" s="46"/>
      <c r="I137" s="46"/>
      <c r="J137" s="46"/>
      <c r="K137" s="46"/>
      <c r="L137" s="46"/>
      <c r="M137" s="46"/>
      <c r="N137" s="46"/>
      <c r="O137" s="46"/>
      <c r="P137" s="46"/>
      <c r="Q137" s="46"/>
      <c r="R137" s="46"/>
      <c r="S137" s="46"/>
      <c r="T137" s="46"/>
      <c r="U137" s="46"/>
    </row>
    <row r="138" spans="1:21">
      <c r="A138" s="46"/>
      <c r="B138" s="242" t="s">
        <v>416</v>
      </c>
      <c r="C138" s="8"/>
      <c r="D138" s="8"/>
      <c r="E138" s="8"/>
      <c r="F138" s="8"/>
      <c r="G138" s="8"/>
      <c r="H138" s="8"/>
      <c r="I138" s="8"/>
      <c r="J138" s="8"/>
      <c r="K138" s="8"/>
      <c r="L138" s="8"/>
      <c r="M138" s="8"/>
      <c r="N138" s="8"/>
      <c r="O138" s="8"/>
      <c r="P138" s="9"/>
      <c r="Q138" s="46"/>
      <c r="R138" s="46"/>
      <c r="S138" s="46"/>
      <c r="T138" s="46"/>
      <c r="U138" s="46"/>
    </row>
    <row r="139" spans="1:21" s="40" customFormat="1">
      <c r="A139" s="46"/>
      <c r="B139" s="243" t="s">
        <v>747</v>
      </c>
      <c r="C139" s="76"/>
      <c r="D139" s="76"/>
      <c r="E139" s="76"/>
      <c r="F139" s="76"/>
      <c r="G139" s="76"/>
      <c r="H139" s="76"/>
      <c r="I139" s="76"/>
      <c r="J139" s="76"/>
      <c r="K139" s="76"/>
      <c r="L139" s="76"/>
      <c r="M139" s="76"/>
      <c r="N139" s="76"/>
      <c r="O139" s="76"/>
      <c r="P139" s="244"/>
      <c r="Q139" s="79"/>
      <c r="R139" s="79"/>
      <c r="S139" s="79"/>
      <c r="T139" s="79"/>
      <c r="U139" s="46"/>
    </row>
    <row r="140" spans="1:21" s="40" customFormat="1">
      <c r="A140" s="46"/>
      <c r="B140" s="243" t="s">
        <v>748</v>
      </c>
      <c r="C140" s="76"/>
      <c r="D140" s="76"/>
      <c r="E140" s="76"/>
      <c r="F140" s="76"/>
      <c r="G140" s="76"/>
      <c r="H140" s="76"/>
      <c r="I140" s="76"/>
      <c r="J140" s="76"/>
      <c r="K140" s="76"/>
      <c r="L140" s="76"/>
      <c r="M140" s="76"/>
      <c r="N140" s="76"/>
      <c r="O140" s="76"/>
      <c r="P140" s="244"/>
      <c r="Q140" s="79"/>
      <c r="R140" s="79"/>
      <c r="S140" s="79"/>
      <c r="T140" s="79"/>
      <c r="U140" s="46"/>
    </row>
    <row r="141" spans="1:21" s="40" customFormat="1">
      <c r="A141" s="46"/>
      <c r="B141" s="243" t="s">
        <v>466</v>
      </c>
      <c r="C141" s="76"/>
      <c r="D141" s="76"/>
      <c r="E141" s="76"/>
      <c r="F141" s="76"/>
      <c r="G141" s="76"/>
      <c r="H141" s="76"/>
      <c r="I141" s="76"/>
      <c r="J141" s="76"/>
      <c r="K141" s="76"/>
      <c r="L141" s="76"/>
      <c r="M141" s="76"/>
      <c r="N141" s="76"/>
      <c r="O141" s="76"/>
      <c r="P141" s="244"/>
      <c r="Q141" s="79"/>
      <c r="R141" s="79"/>
      <c r="S141" s="79"/>
      <c r="T141" s="79"/>
      <c r="U141" s="46"/>
    </row>
    <row r="142" spans="1:21" s="40" customFormat="1">
      <c r="A142" s="46"/>
      <c r="B142" s="243"/>
      <c r="C142" s="76"/>
      <c r="D142" s="76"/>
      <c r="E142" s="76"/>
      <c r="F142" s="76"/>
      <c r="G142" s="76"/>
      <c r="H142" s="76"/>
      <c r="I142" s="76"/>
      <c r="J142" s="76"/>
      <c r="K142" s="76"/>
      <c r="L142" s="76"/>
      <c r="M142" s="76"/>
      <c r="N142" s="76"/>
      <c r="O142" s="76"/>
      <c r="P142" s="244"/>
      <c r="Q142" s="79"/>
      <c r="R142" s="79"/>
      <c r="S142" s="79"/>
      <c r="T142" s="79"/>
      <c r="U142" s="46"/>
    </row>
    <row r="143" spans="1:21" ht="16.5">
      <c r="A143" s="46"/>
      <c r="B143" s="666" t="s">
        <v>467</v>
      </c>
      <c r="C143" s="76"/>
      <c r="D143" s="76"/>
      <c r="E143" s="76"/>
      <c r="F143" s="76"/>
      <c r="G143" s="76"/>
      <c r="H143" s="76"/>
      <c r="I143" s="76"/>
      <c r="J143" s="76"/>
      <c r="K143" s="76"/>
      <c r="L143" s="76"/>
      <c r="M143" s="76"/>
      <c r="N143" s="76"/>
      <c r="O143" s="76"/>
      <c r="P143" s="244"/>
      <c r="Q143" s="79"/>
      <c r="R143" s="79"/>
      <c r="S143" s="79"/>
      <c r="T143" s="79"/>
      <c r="U143" s="46"/>
    </row>
    <row r="144" spans="1:21" s="40" customFormat="1">
      <c r="A144" s="46"/>
      <c r="B144" s="666" t="s">
        <v>468</v>
      </c>
      <c r="C144" s="76"/>
      <c r="D144" s="76"/>
      <c r="E144" s="76"/>
      <c r="F144" s="76"/>
      <c r="G144" s="76"/>
      <c r="H144" s="76"/>
      <c r="I144" s="76"/>
      <c r="J144" s="76"/>
      <c r="K144" s="76"/>
      <c r="L144" s="76"/>
      <c r="M144" s="76"/>
      <c r="N144" s="76"/>
      <c r="O144" s="76"/>
      <c r="P144" s="244"/>
      <c r="Q144" s="79"/>
      <c r="R144" s="79"/>
      <c r="S144" s="79"/>
      <c r="T144" s="79"/>
      <c r="U144" s="46"/>
    </row>
    <row r="145" spans="1:21">
      <c r="A145" s="46"/>
      <c r="B145" s="667" t="s">
        <v>469</v>
      </c>
      <c r="C145" s="76"/>
      <c r="D145" s="76"/>
      <c r="E145" s="76"/>
      <c r="F145" s="76"/>
      <c r="G145" s="76"/>
      <c r="H145" s="76"/>
      <c r="I145" s="76"/>
      <c r="J145" s="76"/>
      <c r="K145" s="76"/>
      <c r="L145" s="76"/>
      <c r="M145" s="76"/>
      <c r="N145" s="76"/>
      <c r="O145" s="76"/>
      <c r="P145" s="244"/>
      <c r="Q145" s="79"/>
      <c r="R145" s="79"/>
      <c r="S145" s="79"/>
      <c r="T145" s="79"/>
      <c r="U145" s="46"/>
    </row>
    <row r="146" spans="1:21" s="40" customFormat="1">
      <c r="A146" s="46"/>
      <c r="B146" s="246" t="s">
        <v>470</v>
      </c>
      <c r="C146" s="245"/>
      <c r="D146" s="245"/>
      <c r="E146" s="245"/>
      <c r="F146" s="245"/>
      <c r="G146" s="76"/>
      <c r="H146" s="76"/>
      <c r="I146" s="76"/>
      <c r="J146" s="76"/>
      <c r="K146" s="76"/>
      <c r="L146" s="76"/>
      <c r="M146" s="76"/>
      <c r="N146" s="76"/>
      <c r="O146" s="76"/>
      <c r="P146" s="244"/>
      <c r="Q146" s="79"/>
      <c r="R146" s="79"/>
      <c r="S146" s="79"/>
      <c r="T146" s="79"/>
      <c r="U146" s="46"/>
    </row>
    <row r="147" spans="1:21">
      <c r="A147" s="46"/>
      <c r="B147" s="116"/>
      <c r="C147" s="76"/>
      <c r="D147" s="76"/>
      <c r="E147" s="76"/>
      <c r="F147" s="76"/>
      <c r="G147" s="76"/>
      <c r="H147" s="76"/>
      <c r="I147" s="76"/>
      <c r="J147" s="76"/>
      <c r="K147" s="76"/>
      <c r="L147" s="76"/>
      <c r="M147" s="76"/>
      <c r="N147" s="76"/>
      <c r="O147" s="76"/>
      <c r="P147" s="244"/>
      <c r="Q147" s="79"/>
      <c r="R147" s="79"/>
      <c r="S147" s="79"/>
      <c r="T147" s="79"/>
      <c r="U147" s="46"/>
    </row>
    <row r="148" spans="1:21">
      <c r="A148" s="46"/>
      <c r="B148" s="116"/>
      <c r="C148" s="76"/>
      <c r="D148" s="76"/>
      <c r="E148" s="76"/>
      <c r="F148" s="76"/>
      <c r="G148" s="76"/>
      <c r="H148" s="76"/>
      <c r="I148" s="76"/>
      <c r="J148" s="76"/>
      <c r="K148" s="76"/>
      <c r="L148" s="76"/>
      <c r="M148" s="76"/>
      <c r="N148" s="76"/>
      <c r="O148" s="76"/>
      <c r="P148" s="244"/>
      <c r="Q148" s="79"/>
      <c r="R148" s="79"/>
      <c r="S148" s="79"/>
      <c r="T148" s="79"/>
      <c r="U148" s="46"/>
    </row>
    <row r="149" spans="1:21">
      <c r="A149" s="46"/>
      <c r="B149" s="10"/>
      <c r="C149" s="11"/>
      <c r="D149" s="11"/>
      <c r="E149" s="11"/>
      <c r="F149" s="11"/>
      <c r="G149" s="11"/>
      <c r="H149" s="11"/>
      <c r="I149" s="11"/>
      <c r="J149" s="11"/>
      <c r="K149" s="11"/>
      <c r="L149" s="11"/>
      <c r="M149" s="11"/>
      <c r="N149" s="11"/>
      <c r="O149" s="11"/>
      <c r="P149" s="12"/>
      <c r="Q149" s="46"/>
      <c r="R149" s="46"/>
      <c r="S149" s="46"/>
      <c r="T149" s="46"/>
      <c r="U149" s="46"/>
    </row>
    <row r="150" spans="1:21">
      <c r="A150" s="46"/>
      <c r="B150" s="10"/>
      <c r="C150" s="11"/>
      <c r="D150" s="11"/>
      <c r="E150" s="11"/>
      <c r="F150" s="11"/>
      <c r="G150" s="11"/>
      <c r="H150" s="11"/>
      <c r="I150" s="11"/>
      <c r="J150" s="11"/>
      <c r="K150" s="11"/>
      <c r="L150" s="11"/>
      <c r="M150" s="11"/>
      <c r="N150" s="11"/>
      <c r="O150" s="11"/>
      <c r="P150" s="12"/>
      <c r="Q150" s="46"/>
      <c r="R150" s="46"/>
      <c r="S150" s="46"/>
      <c r="T150" s="46"/>
      <c r="U150" s="46"/>
    </row>
    <row r="151" spans="1:21" s="40" customFormat="1">
      <c r="A151" s="46"/>
      <c r="B151" s="10"/>
      <c r="C151" s="247"/>
      <c r="D151" s="11"/>
      <c r="E151" s="11"/>
      <c r="F151" s="11"/>
      <c r="G151" s="11"/>
      <c r="H151" s="11"/>
      <c r="I151" s="11"/>
      <c r="J151" s="11"/>
      <c r="K151" s="11"/>
      <c r="L151" s="11"/>
      <c r="M151" s="11"/>
      <c r="N151" s="11"/>
      <c r="O151" s="11"/>
      <c r="P151" s="12"/>
      <c r="Q151" s="46"/>
      <c r="R151" s="46"/>
      <c r="S151" s="46"/>
      <c r="T151" s="46"/>
      <c r="U151" s="46"/>
    </row>
    <row r="152" spans="1:21" s="40" customFormat="1">
      <c r="A152" s="46"/>
      <c r="B152" s="10"/>
      <c r="C152" s="247"/>
      <c r="D152" s="11"/>
      <c r="E152" s="11"/>
      <c r="F152" s="11"/>
      <c r="G152" s="11"/>
      <c r="H152" s="11"/>
      <c r="I152" s="11"/>
      <c r="J152" s="11"/>
      <c r="K152" s="11"/>
      <c r="L152" s="11"/>
      <c r="M152" s="11"/>
      <c r="N152" s="11"/>
      <c r="O152" s="11"/>
      <c r="P152" s="12"/>
      <c r="Q152" s="46"/>
      <c r="R152" s="46"/>
      <c r="S152" s="46"/>
      <c r="T152" s="46"/>
      <c r="U152" s="46"/>
    </row>
    <row r="153" spans="1:21" s="40" customFormat="1">
      <c r="A153" s="46"/>
      <c r="B153" s="10"/>
      <c r="C153" s="247"/>
      <c r="D153" s="11"/>
      <c r="E153" s="11"/>
      <c r="F153" s="11"/>
      <c r="G153" s="11"/>
      <c r="H153" s="11"/>
      <c r="I153" s="11"/>
      <c r="J153" s="11"/>
      <c r="K153" s="11"/>
      <c r="L153" s="11"/>
      <c r="M153" s="11"/>
      <c r="N153" s="11"/>
      <c r="O153" s="11"/>
      <c r="P153" s="12"/>
      <c r="Q153" s="46"/>
      <c r="R153" s="46"/>
      <c r="S153" s="46"/>
      <c r="T153" s="46"/>
      <c r="U153" s="46"/>
    </row>
    <row r="154" spans="1:21" s="40" customFormat="1">
      <c r="A154" s="46"/>
      <c r="B154" s="10"/>
      <c r="C154" s="247"/>
      <c r="D154" s="11"/>
      <c r="E154" s="11"/>
      <c r="F154" s="11"/>
      <c r="G154" s="11"/>
      <c r="H154" s="11"/>
      <c r="I154" s="11"/>
      <c r="J154" s="11"/>
      <c r="K154" s="11"/>
      <c r="L154" s="11"/>
      <c r="M154" s="11"/>
      <c r="N154" s="11"/>
      <c r="O154" s="11"/>
      <c r="P154" s="12"/>
      <c r="Q154" s="46"/>
      <c r="R154" s="46"/>
      <c r="S154" s="46"/>
      <c r="T154" s="46"/>
      <c r="U154" s="46"/>
    </row>
    <row r="155" spans="1:21" s="40" customFormat="1">
      <c r="A155" s="46"/>
      <c r="B155" s="10"/>
      <c r="C155" s="247"/>
      <c r="D155" s="11"/>
      <c r="E155" s="11"/>
      <c r="F155" s="11"/>
      <c r="G155" s="11"/>
      <c r="H155" s="11"/>
      <c r="I155" s="11"/>
      <c r="J155" s="11"/>
      <c r="K155" s="11"/>
      <c r="L155" s="11"/>
      <c r="M155" s="11"/>
      <c r="N155" s="11"/>
      <c r="O155" s="11"/>
      <c r="P155" s="12"/>
      <c r="Q155" s="46"/>
      <c r="R155" s="46"/>
      <c r="S155" s="46"/>
      <c r="T155" s="46"/>
      <c r="U155" s="46"/>
    </row>
    <row r="156" spans="1:21" s="40" customFormat="1">
      <c r="A156" s="46"/>
      <c r="B156" s="10"/>
      <c r="C156" s="247"/>
      <c r="D156" s="11"/>
      <c r="E156" s="11"/>
      <c r="F156" s="11"/>
      <c r="G156" s="11"/>
      <c r="H156" s="11"/>
      <c r="I156" s="11"/>
      <c r="J156" s="11"/>
      <c r="K156" s="11"/>
      <c r="L156" s="11"/>
      <c r="M156" s="11"/>
      <c r="N156" s="11"/>
      <c r="O156" s="11"/>
      <c r="P156" s="12"/>
      <c r="Q156" s="46"/>
      <c r="R156" s="46"/>
      <c r="S156" s="46"/>
      <c r="T156" s="46"/>
      <c r="U156" s="46"/>
    </row>
    <row r="157" spans="1:21" s="40" customFormat="1">
      <c r="A157" s="46"/>
      <c r="B157" s="10"/>
      <c r="C157" s="247"/>
      <c r="D157" s="11"/>
      <c r="E157" s="11"/>
      <c r="F157" s="11"/>
      <c r="G157" s="11"/>
      <c r="H157" s="11"/>
      <c r="I157" s="11"/>
      <c r="J157" s="11"/>
      <c r="K157" s="11"/>
      <c r="L157" s="11"/>
      <c r="M157" s="11"/>
      <c r="N157" s="11"/>
      <c r="O157" s="11"/>
      <c r="P157" s="12"/>
      <c r="Q157" s="46"/>
      <c r="R157" s="46"/>
      <c r="S157" s="46"/>
      <c r="T157" s="46"/>
      <c r="U157" s="46"/>
    </row>
    <row r="158" spans="1:21" s="40" customFormat="1">
      <c r="A158" s="46"/>
      <c r="B158" s="10"/>
      <c r="C158" s="247"/>
      <c r="D158" s="11"/>
      <c r="E158" s="11"/>
      <c r="F158" s="11"/>
      <c r="G158" s="11"/>
      <c r="H158" s="11"/>
      <c r="I158" s="11"/>
      <c r="J158" s="11"/>
      <c r="K158" s="11"/>
      <c r="L158" s="11"/>
      <c r="M158" s="11"/>
      <c r="N158" s="11"/>
      <c r="O158" s="11"/>
      <c r="P158" s="12"/>
      <c r="Q158" s="46"/>
      <c r="R158" s="46"/>
      <c r="S158" s="46"/>
      <c r="T158" s="46"/>
      <c r="U158" s="46"/>
    </row>
    <row r="159" spans="1:21" s="40" customFormat="1">
      <c r="A159" s="46"/>
      <c r="B159" s="10"/>
      <c r="C159" s="247"/>
      <c r="D159" s="11"/>
      <c r="E159" s="11"/>
      <c r="F159" s="11"/>
      <c r="G159" s="11"/>
      <c r="H159" s="11"/>
      <c r="I159" s="11"/>
      <c r="J159" s="11"/>
      <c r="K159" s="11"/>
      <c r="L159" s="11"/>
      <c r="M159" s="11"/>
      <c r="N159" s="11"/>
      <c r="O159" s="11"/>
      <c r="P159" s="12"/>
      <c r="Q159" s="46"/>
      <c r="R159" s="46"/>
      <c r="S159" s="46"/>
      <c r="T159" s="46"/>
      <c r="U159" s="46"/>
    </row>
    <row r="160" spans="1:21" s="40" customFormat="1">
      <c r="A160" s="46"/>
      <c r="B160" s="10"/>
      <c r="C160" s="247"/>
      <c r="D160" s="11"/>
      <c r="E160" s="11"/>
      <c r="F160" s="11"/>
      <c r="G160" s="11"/>
      <c r="H160" s="11"/>
      <c r="I160" s="11"/>
      <c r="J160" s="11"/>
      <c r="K160" s="11"/>
      <c r="L160" s="11"/>
      <c r="M160" s="11"/>
      <c r="N160" s="11"/>
      <c r="O160" s="11"/>
      <c r="P160" s="12"/>
      <c r="Q160" s="46"/>
      <c r="R160" s="46"/>
      <c r="S160" s="46"/>
      <c r="T160" s="46"/>
      <c r="U160" s="46"/>
    </row>
    <row r="161" spans="1:21" s="40" customFormat="1">
      <c r="A161" s="46"/>
      <c r="B161" s="10"/>
      <c r="C161" s="247"/>
      <c r="D161" s="11"/>
      <c r="E161" s="11"/>
      <c r="F161" s="11"/>
      <c r="G161" s="11"/>
      <c r="H161" s="11"/>
      <c r="I161" s="11"/>
      <c r="J161" s="11"/>
      <c r="K161" s="11"/>
      <c r="L161" s="11"/>
      <c r="M161" s="11"/>
      <c r="N161" s="11"/>
      <c r="O161" s="11"/>
      <c r="P161" s="12"/>
      <c r="Q161" s="46"/>
      <c r="R161" s="46"/>
      <c r="S161" s="46"/>
      <c r="T161" s="46"/>
      <c r="U161" s="46"/>
    </row>
    <row r="162" spans="1:21" s="40" customFormat="1">
      <c r="A162" s="46"/>
      <c r="B162" s="10"/>
      <c r="C162" s="247"/>
      <c r="D162" s="11"/>
      <c r="E162" s="11"/>
      <c r="F162" s="11"/>
      <c r="G162" s="11"/>
      <c r="H162" s="11"/>
      <c r="I162" s="11"/>
      <c r="J162" s="11"/>
      <c r="K162" s="11"/>
      <c r="L162" s="11"/>
      <c r="M162" s="11"/>
      <c r="N162" s="11"/>
      <c r="O162" s="11"/>
      <c r="P162" s="12"/>
      <c r="Q162" s="46"/>
      <c r="R162" s="46"/>
      <c r="S162" s="46"/>
      <c r="T162" s="46"/>
      <c r="U162" s="46"/>
    </row>
    <row r="163" spans="1:21" s="40" customFormat="1">
      <c r="A163" s="46"/>
      <c r="B163" s="10"/>
      <c r="C163" s="247"/>
      <c r="D163" s="11"/>
      <c r="E163" s="11"/>
      <c r="F163" s="11"/>
      <c r="G163" s="11"/>
      <c r="H163" s="11"/>
      <c r="I163" s="11"/>
      <c r="J163" s="11"/>
      <c r="K163" s="11"/>
      <c r="L163" s="11"/>
      <c r="M163" s="11"/>
      <c r="N163" s="11"/>
      <c r="O163" s="11"/>
      <c r="P163" s="12"/>
      <c r="Q163" s="46"/>
      <c r="R163" s="46"/>
      <c r="S163" s="46"/>
      <c r="T163" s="46"/>
      <c r="U163" s="46"/>
    </row>
    <row r="164" spans="1:21" s="40" customFormat="1">
      <c r="A164" s="46"/>
      <c r="B164" s="10"/>
      <c r="C164" s="247"/>
      <c r="D164" s="11"/>
      <c r="E164" s="11"/>
      <c r="F164" s="11"/>
      <c r="G164" s="11"/>
      <c r="H164" s="11"/>
      <c r="I164" s="11"/>
      <c r="J164" s="11"/>
      <c r="K164" s="11"/>
      <c r="L164" s="11"/>
      <c r="M164" s="11"/>
      <c r="N164" s="11"/>
      <c r="O164" s="11"/>
      <c r="P164" s="12"/>
      <c r="Q164" s="46"/>
      <c r="R164" s="46"/>
      <c r="S164" s="46"/>
      <c r="T164" s="46"/>
      <c r="U164" s="46"/>
    </row>
    <row r="165" spans="1:21" s="40" customFormat="1">
      <c r="A165" s="46"/>
      <c r="B165" s="10"/>
      <c r="C165" s="247"/>
      <c r="D165" s="11"/>
      <c r="E165" s="11"/>
      <c r="F165" s="11"/>
      <c r="G165" s="11"/>
      <c r="H165" s="11"/>
      <c r="I165" s="11"/>
      <c r="J165" s="11"/>
      <c r="K165" s="11"/>
      <c r="L165" s="11"/>
      <c r="M165" s="11"/>
      <c r="N165" s="11"/>
      <c r="O165" s="11"/>
      <c r="P165" s="12"/>
      <c r="Q165" s="46"/>
      <c r="R165" s="46"/>
      <c r="S165" s="46"/>
      <c r="T165" s="46"/>
      <c r="U165" s="46"/>
    </row>
    <row r="166" spans="1:21" s="40" customFormat="1">
      <c r="A166" s="46"/>
      <c r="B166" s="10"/>
      <c r="C166" s="247"/>
      <c r="D166" s="11"/>
      <c r="E166" s="11"/>
      <c r="F166" s="11"/>
      <c r="G166" s="11"/>
      <c r="H166" s="11"/>
      <c r="I166" s="11"/>
      <c r="J166" s="11"/>
      <c r="K166" s="11"/>
      <c r="L166" s="11"/>
      <c r="M166" s="11"/>
      <c r="N166" s="11"/>
      <c r="O166" s="11"/>
      <c r="P166" s="12"/>
      <c r="Q166" s="46"/>
      <c r="R166" s="46"/>
      <c r="S166" s="46"/>
      <c r="T166" s="46"/>
      <c r="U166" s="46"/>
    </row>
    <row r="167" spans="1:21" s="40" customFormat="1">
      <c r="A167" s="46"/>
      <c r="B167" s="10"/>
      <c r="C167" s="247"/>
      <c r="D167" s="11"/>
      <c r="E167" s="11"/>
      <c r="F167" s="11"/>
      <c r="G167" s="11"/>
      <c r="H167" s="11"/>
      <c r="I167" s="11"/>
      <c r="J167" s="11"/>
      <c r="K167" s="11"/>
      <c r="L167" s="11"/>
      <c r="M167" s="11"/>
      <c r="N167" s="11"/>
      <c r="O167" s="11"/>
      <c r="P167" s="12"/>
      <c r="Q167" s="46"/>
      <c r="R167" s="46"/>
      <c r="S167" s="46"/>
      <c r="T167" s="46"/>
      <c r="U167" s="46"/>
    </row>
    <row r="168" spans="1:21" s="40" customFormat="1">
      <c r="A168" s="46"/>
      <c r="B168" s="10"/>
      <c r="C168" s="247"/>
      <c r="D168" s="11"/>
      <c r="E168" s="248" t="s">
        <v>460</v>
      </c>
      <c r="F168" s="11"/>
      <c r="G168" s="11"/>
      <c r="H168" s="11"/>
      <c r="I168" s="11"/>
      <c r="J168" s="11"/>
      <c r="K168" s="11"/>
      <c r="L168" s="11"/>
      <c r="M168" s="11"/>
      <c r="N168" s="11"/>
      <c r="O168" s="11"/>
      <c r="P168" s="12"/>
      <c r="Q168" s="46"/>
      <c r="R168" s="46"/>
      <c r="S168" s="46"/>
      <c r="T168" s="46"/>
      <c r="U168" s="46"/>
    </row>
    <row r="169" spans="1:21" s="40" customFormat="1">
      <c r="A169" s="46"/>
      <c r="B169" s="10"/>
      <c r="C169" s="247"/>
      <c r="D169" s="249" t="s">
        <v>213</v>
      </c>
      <c r="E169" s="112"/>
      <c r="F169" s="249"/>
      <c r="G169" s="249"/>
      <c r="H169" s="249"/>
      <c r="I169" s="249"/>
      <c r="J169" s="249"/>
      <c r="K169" s="249"/>
      <c r="L169" s="11"/>
      <c r="M169" s="11"/>
      <c r="N169" s="11"/>
      <c r="O169" s="11"/>
      <c r="P169" s="12"/>
      <c r="Q169" s="46"/>
      <c r="R169" s="46"/>
      <c r="S169" s="46"/>
      <c r="T169" s="46"/>
      <c r="U169" s="46"/>
    </row>
    <row r="170" spans="1:21" s="40" customFormat="1">
      <c r="A170" s="46"/>
      <c r="B170" s="10"/>
      <c r="C170" s="112"/>
      <c r="D170" s="249"/>
      <c r="E170" s="112" t="s">
        <v>456</v>
      </c>
      <c r="F170" s="249"/>
      <c r="G170" s="249"/>
      <c r="H170" s="249"/>
      <c r="I170" s="249" t="s">
        <v>455</v>
      </c>
      <c r="J170" s="249"/>
      <c r="K170" s="249"/>
      <c r="L170" s="11"/>
      <c r="M170" s="11"/>
      <c r="N170" s="11"/>
      <c r="O170" s="11"/>
      <c r="P170" s="12"/>
      <c r="Q170" s="46"/>
      <c r="R170" s="46"/>
      <c r="S170" s="46"/>
      <c r="T170" s="46"/>
      <c r="U170" s="46"/>
    </row>
    <row r="171" spans="1:21" s="40" customFormat="1">
      <c r="A171" s="46"/>
      <c r="B171" s="10"/>
      <c r="C171" s="11"/>
      <c r="D171" s="249"/>
      <c r="E171" s="112" t="s">
        <v>457</v>
      </c>
      <c r="F171" s="249"/>
      <c r="G171" s="249"/>
      <c r="H171" s="249"/>
      <c r="I171" s="249"/>
      <c r="J171" s="249"/>
      <c r="K171" s="249"/>
      <c r="L171" s="11"/>
      <c r="M171" s="11"/>
      <c r="N171" s="11"/>
      <c r="O171" s="11"/>
      <c r="P171" s="12"/>
      <c r="Q171" s="46"/>
      <c r="R171" s="46"/>
      <c r="S171" s="46"/>
      <c r="T171" s="46"/>
      <c r="U171" s="46"/>
    </row>
    <row r="172" spans="1:21" s="40" customFormat="1">
      <c r="A172" s="46"/>
      <c r="B172" s="10"/>
      <c r="C172" s="11"/>
      <c r="D172" s="249"/>
      <c r="E172" s="112" t="s">
        <v>458</v>
      </c>
      <c r="F172" s="249"/>
      <c r="G172" s="249"/>
      <c r="H172" s="249"/>
      <c r="I172" s="249"/>
      <c r="J172" s="249"/>
      <c r="K172" s="249"/>
      <c r="L172" s="11"/>
      <c r="M172" s="11"/>
      <c r="N172" s="11"/>
      <c r="O172" s="11"/>
      <c r="P172" s="12"/>
      <c r="Q172" s="46"/>
      <c r="R172" s="46"/>
      <c r="S172" s="46"/>
      <c r="T172" s="46"/>
      <c r="U172" s="46"/>
    </row>
    <row r="173" spans="1:21" s="40" customFormat="1">
      <c r="A173" s="46"/>
      <c r="B173" s="10"/>
      <c r="C173" s="11"/>
      <c r="D173" s="11"/>
      <c r="E173" s="11"/>
      <c r="F173" s="11"/>
      <c r="G173" s="11"/>
      <c r="H173" s="11"/>
      <c r="I173" s="11"/>
      <c r="J173" s="11"/>
      <c r="K173" s="11"/>
      <c r="L173" s="11"/>
      <c r="M173" s="11"/>
      <c r="N173" s="11"/>
      <c r="O173" s="11"/>
      <c r="P173" s="12"/>
      <c r="Q173" s="46"/>
      <c r="R173" s="46"/>
      <c r="S173" s="46"/>
      <c r="T173" s="46"/>
      <c r="U173" s="46"/>
    </row>
    <row r="174" spans="1:21">
      <c r="A174" s="46"/>
      <c r="B174" s="10"/>
      <c r="C174" s="11"/>
      <c r="D174" s="11"/>
      <c r="E174" s="11"/>
      <c r="F174" s="11"/>
      <c r="G174" s="11"/>
      <c r="H174" s="11"/>
      <c r="I174" s="11"/>
      <c r="J174" s="11"/>
      <c r="K174" s="11"/>
      <c r="L174" s="11"/>
      <c r="M174" s="11"/>
      <c r="N174" s="11"/>
      <c r="O174" s="11"/>
      <c r="P174" s="12"/>
      <c r="Q174" s="46"/>
      <c r="R174" s="46"/>
      <c r="S174" s="46"/>
      <c r="T174" s="46"/>
      <c r="U174" s="46"/>
    </row>
    <row r="175" spans="1:21">
      <c r="A175" s="46"/>
      <c r="B175" s="250" t="s">
        <v>459</v>
      </c>
      <c r="C175" s="249"/>
      <c r="D175" s="249"/>
      <c r="E175" s="249"/>
      <c r="F175" s="249"/>
      <c r="G175" s="249"/>
      <c r="H175" s="249"/>
      <c r="I175" s="249"/>
      <c r="J175" s="11"/>
      <c r="K175" s="11"/>
      <c r="L175" s="11"/>
      <c r="M175" s="11"/>
      <c r="N175" s="11"/>
      <c r="O175" s="11"/>
      <c r="P175" s="12"/>
      <c r="Q175" s="46"/>
      <c r="R175" s="46"/>
      <c r="S175" s="46"/>
      <c r="T175" s="46"/>
      <c r="U175" s="46"/>
    </row>
    <row r="176" spans="1:21" s="40" customFormat="1" ht="16.5">
      <c r="A176" s="46"/>
      <c r="B176" s="250" t="s">
        <v>471</v>
      </c>
      <c r="C176" s="249"/>
      <c r="D176" s="249"/>
      <c r="E176" s="249"/>
      <c r="F176" s="249"/>
      <c r="G176" s="249"/>
      <c r="H176" s="249"/>
      <c r="I176" s="249"/>
      <c r="J176" s="11"/>
      <c r="K176" s="11"/>
      <c r="L176" s="11"/>
      <c r="M176" s="11"/>
      <c r="N176" s="11"/>
      <c r="O176" s="11"/>
      <c r="P176" s="12"/>
      <c r="Q176" s="46"/>
      <c r="R176" s="46"/>
      <c r="S176" s="46"/>
      <c r="T176" s="46"/>
      <c r="U176" s="46"/>
    </row>
    <row r="177" spans="1:21" s="40" customFormat="1">
      <c r="A177" s="46"/>
      <c r="B177" s="250" t="s">
        <v>472</v>
      </c>
      <c r="C177" s="249"/>
      <c r="D177" s="249"/>
      <c r="E177" s="249"/>
      <c r="F177" s="249"/>
      <c r="G177" s="249"/>
      <c r="H177" s="249"/>
      <c r="I177" s="249"/>
      <c r="J177" s="11"/>
      <c r="K177" s="11"/>
      <c r="L177" s="11"/>
      <c r="M177" s="11"/>
      <c r="N177" s="11"/>
      <c r="O177" s="11"/>
      <c r="P177" s="12"/>
      <c r="Q177" s="46"/>
      <c r="R177" s="46"/>
      <c r="S177" s="46"/>
      <c r="T177" s="46"/>
      <c r="U177" s="46"/>
    </row>
    <row r="178" spans="1:21" s="40" customFormat="1">
      <c r="A178" s="46"/>
      <c r="B178" s="250"/>
      <c r="C178" s="249"/>
      <c r="D178" s="249"/>
      <c r="E178" s="249"/>
      <c r="F178" s="249"/>
      <c r="G178" s="249"/>
      <c r="H178" s="249"/>
      <c r="I178" s="249"/>
      <c r="J178" s="11"/>
      <c r="K178" s="11"/>
      <c r="L178" s="11"/>
      <c r="M178" s="11"/>
      <c r="N178" s="11"/>
      <c r="O178" s="11"/>
      <c r="P178" s="12"/>
      <c r="Q178" s="46"/>
      <c r="R178" s="46"/>
      <c r="S178" s="46"/>
      <c r="T178" s="46"/>
      <c r="U178" s="46"/>
    </row>
    <row r="179" spans="1:21" s="40" customFormat="1">
      <c r="A179" s="46"/>
      <c r="B179" s="250"/>
      <c r="C179" s="249"/>
      <c r="D179" s="249"/>
      <c r="E179" s="249"/>
      <c r="F179" s="249"/>
      <c r="G179" s="249"/>
      <c r="H179" s="249"/>
      <c r="I179" s="249"/>
      <c r="J179" s="11"/>
      <c r="K179" s="11"/>
      <c r="L179" s="11"/>
      <c r="M179" s="11"/>
      <c r="N179" s="11"/>
      <c r="O179" s="11"/>
      <c r="P179" s="12"/>
      <c r="Q179" s="46"/>
      <c r="R179" s="46"/>
      <c r="S179" s="46"/>
      <c r="T179" s="46"/>
      <c r="U179" s="46"/>
    </row>
    <row r="180" spans="1:21" s="40" customFormat="1">
      <c r="A180" s="46"/>
      <c r="B180" s="250"/>
      <c r="C180" s="249"/>
      <c r="D180" s="249"/>
      <c r="E180" s="249"/>
      <c r="F180" s="249"/>
      <c r="G180" s="249"/>
      <c r="H180" s="249"/>
      <c r="I180" s="249"/>
      <c r="J180" s="11"/>
      <c r="K180" s="11"/>
      <c r="L180" s="11"/>
      <c r="M180" s="11"/>
      <c r="N180" s="11"/>
      <c r="O180" s="11"/>
      <c r="P180" s="12"/>
      <c r="Q180" s="46"/>
      <c r="R180" s="46"/>
      <c r="S180" s="46"/>
      <c r="T180" s="46"/>
      <c r="U180" s="46"/>
    </row>
    <row r="181" spans="1:21" s="40" customFormat="1">
      <c r="A181" s="46"/>
      <c r="B181" s="250"/>
      <c r="C181" s="249"/>
      <c r="D181" s="249"/>
      <c r="E181" s="249"/>
      <c r="F181" s="249"/>
      <c r="G181" s="249"/>
      <c r="H181" s="249"/>
      <c r="I181" s="249"/>
      <c r="J181" s="11"/>
      <c r="K181" s="11"/>
      <c r="L181" s="11"/>
      <c r="M181" s="11"/>
      <c r="N181" s="11"/>
      <c r="O181" s="11"/>
      <c r="P181" s="12"/>
      <c r="Q181" s="46"/>
      <c r="R181" s="46"/>
      <c r="S181" s="46"/>
      <c r="T181" s="46"/>
      <c r="U181" s="46"/>
    </row>
    <row r="182" spans="1:21" s="40" customFormat="1">
      <c r="A182" s="46"/>
      <c r="B182" s="250"/>
      <c r="C182" s="249"/>
      <c r="D182" s="249"/>
      <c r="E182" s="249"/>
      <c r="F182" s="249"/>
      <c r="G182" s="249"/>
      <c r="H182" s="249"/>
      <c r="I182" s="249"/>
      <c r="J182" s="11"/>
      <c r="K182" s="11"/>
      <c r="L182" s="11"/>
      <c r="M182" s="11"/>
      <c r="N182" s="11"/>
      <c r="O182" s="11"/>
      <c r="P182" s="12"/>
      <c r="Q182" s="46"/>
      <c r="R182" s="46"/>
      <c r="S182" s="46"/>
      <c r="T182" s="46"/>
      <c r="U182" s="46"/>
    </row>
    <row r="183" spans="1:21" s="40" customFormat="1">
      <c r="A183" s="46"/>
      <c r="B183" s="250"/>
      <c r="C183" s="249"/>
      <c r="D183" s="249"/>
      <c r="E183" s="249"/>
      <c r="F183" s="249"/>
      <c r="G183" s="249"/>
      <c r="H183" s="249"/>
      <c r="I183" s="249"/>
      <c r="J183" s="11"/>
      <c r="K183" s="11"/>
      <c r="L183" s="11"/>
      <c r="M183" s="11"/>
      <c r="N183" s="11"/>
      <c r="O183" s="11"/>
      <c r="P183" s="12"/>
      <c r="Q183" s="46"/>
      <c r="R183" s="46"/>
      <c r="S183" s="46"/>
      <c r="T183" s="46"/>
      <c r="U183" s="46"/>
    </row>
    <row r="184" spans="1:21" s="40" customFormat="1">
      <c r="A184" s="46"/>
      <c r="B184" s="250"/>
      <c r="C184" s="249"/>
      <c r="D184" s="249"/>
      <c r="E184" s="249"/>
      <c r="F184" s="249"/>
      <c r="G184" s="249"/>
      <c r="H184" s="249"/>
      <c r="I184" s="249"/>
      <c r="J184" s="11"/>
      <c r="K184" s="11"/>
      <c r="L184" s="11"/>
      <c r="M184" s="11"/>
      <c r="N184" s="11"/>
      <c r="O184" s="11"/>
      <c r="P184" s="12"/>
      <c r="Q184" s="46"/>
      <c r="R184" s="46"/>
      <c r="S184" s="46"/>
      <c r="T184" s="46"/>
      <c r="U184" s="46"/>
    </row>
    <row r="185" spans="1:21" s="40" customFormat="1">
      <c r="A185" s="46"/>
      <c r="B185" s="250"/>
      <c r="C185" s="249"/>
      <c r="D185" s="249"/>
      <c r="E185" s="249"/>
      <c r="F185" s="249"/>
      <c r="G185" s="249"/>
      <c r="H185" s="249"/>
      <c r="I185" s="249"/>
      <c r="J185" s="11"/>
      <c r="K185" s="11"/>
      <c r="L185" s="11"/>
      <c r="M185" s="11"/>
      <c r="N185" s="11"/>
      <c r="O185" s="11"/>
      <c r="P185" s="12"/>
      <c r="Q185" s="46"/>
      <c r="R185" s="46"/>
      <c r="S185" s="46"/>
      <c r="T185" s="46"/>
      <c r="U185" s="46"/>
    </row>
    <row r="186" spans="1:21" s="40" customFormat="1">
      <c r="A186" s="46"/>
      <c r="B186" s="250"/>
      <c r="C186" s="249"/>
      <c r="D186" s="249"/>
      <c r="E186" s="249"/>
      <c r="F186" s="249"/>
      <c r="G186" s="249"/>
      <c r="H186" s="249"/>
      <c r="I186" s="249"/>
      <c r="J186" s="11"/>
      <c r="K186" s="11"/>
      <c r="L186" s="11"/>
      <c r="M186" s="11"/>
      <c r="N186" s="11"/>
      <c r="O186" s="11"/>
      <c r="P186" s="12"/>
      <c r="Q186" s="46"/>
      <c r="R186" s="46"/>
      <c r="S186" s="46"/>
      <c r="T186" s="46"/>
      <c r="U186" s="46"/>
    </row>
    <row r="187" spans="1:21" s="40" customFormat="1">
      <c r="A187" s="46"/>
      <c r="B187" s="250"/>
      <c r="C187" s="249"/>
      <c r="D187" s="249"/>
      <c r="E187" s="249"/>
      <c r="F187" s="249"/>
      <c r="G187" s="249"/>
      <c r="H187" s="249"/>
      <c r="I187" s="249"/>
      <c r="J187" s="11"/>
      <c r="K187" s="11"/>
      <c r="L187" s="11"/>
      <c r="M187" s="11"/>
      <c r="N187" s="11"/>
      <c r="O187" s="11"/>
      <c r="P187" s="12"/>
      <c r="Q187" s="46"/>
      <c r="R187" s="46"/>
      <c r="S187" s="46"/>
      <c r="T187" s="46"/>
      <c r="U187" s="46"/>
    </row>
    <row r="188" spans="1:21" s="40" customFormat="1">
      <c r="A188" s="46"/>
      <c r="B188" s="250"/>
      <c r="C188" s="249"/>
      <c r="D188" s="249"/>
      <c r="E188" s="249"/>
      <c r="F188" s="249"/>
      <c r="G188" s="249"/>
      <c r="H188" s="249"/>
      <c r="I188" s="249"/>
      <c r="J188" s="11"/>
      <c r="K188" s="11"/>
      <c r="L188" s="11"/>
      <c r="M188" s="11"/>
      <c r="N188" s="11"/>
      <c r="O188" s="11"/>
      <c r="P188" s="12"/>
      <c r="Q188" s="46"/>
      <c r="R188" s="46"/>
      <c r="S188" s="46"/>
      <c r="T188" s="46"/>
      <c r="U188" s="46"/>
    </row>
    <row r="189" spans="1:21" s="40" customFormat="1">
      <c r="A189" s="46"/>
      <c r="B189" s="250"/>
      <c r="C189" s="249"/>
      <c r="D189" s="249"/>
      <c r="E189" s="249"/>
      <c r="F189" s="249"/>
      <c r="G189" s="249"/>
      <c r="H189" s="249"/>
      <c r="I189" s="249"/>
      <c r="J189" s="11"/>
      <c r="K189" s="11"/>
      <c r="L189" s="11"/>
      <c r="M189" s="11"/>
      <c r="N189" s="11"/>
      <c r="O189" s="11"/>
      <c r="P189" s="12"/>
      <c r="Q189" s="46"/>
      <c r="R189" s="46"/>
      <c r="S189" s="46"/>
      <c r="T189" s="46"/>
      <c r="U189" s="46"/>
    </row>
    <row r="190" spans="1:21" s="40" customFormat="1">
      <c r="A190" s="46"/>
      <c r="B190" s="250"/>
      <c r="C190" s="249"/>
      <c r="D190" s="249"/>
      <c r="E190" s="249"/>
      <c r="F190" s="249"/>
      <c r="G190" s="249"/>
      <c r="H190" s="249"/>
      <c r="I190" s="249"/>
      <c r="J190" s="11"/>
      <c r="K190" s="11"/>
      <c r="L190" s="11"/>
      <c r="M190" s="11"/>
      <c r="N190" s="11"/>
      <c r="O190" s="11"/>
      <c r="P190" s="12"/>
      <c r="Q190" s="46"/>
      <c r="R190" s="46"/>
      <c r="S190" s="46"/>
      <c r="T190" s="46"/>
      <c r="U190" s="46"/>
    </row>
    <row r="191" spans="1:21" s="40" customFormat="1">
      <c r="A191" s="46"/>
      <c r="B191" s="251"/>
      <c r="C191" s="249"/>
      <c r="D191" s="249"/>
      <c r="E191" s="249"/>
      <c r="F191" s="249"/>
      <c r="G191" s="249"/>
      <c r="H191" s="249"/>
      <c r="I191" s="249"/>
      <c r="J191" s="11"/>
      <c r="K191" s="11"/>
      <c r="L191" s="11"/>
      <c r="M191" s="11"/>
      <c r="N191" s="11"/>
      <c r="O191" s="11"/>
      <c r="P191" s="12"/>
      <c r="Q191" s="46"/>
      <c r="R191" s="46"/>
      <c r="S191" s="46"/>
      <c r="T191" s="46"/>
      <c r="U191" s="46"/>
    </row>
    <row r="192" spans="1:21" s="40" customFormat="1">
      <c r="A192" s="46"/>
      <c r="B192" s="251"/>
      <c r="C192" s="249"/>
      <c r="D192" s="249"/>
      <c r="E192" s="249"/>
      <c r="F192" s="249"/>
      <c r="G192" s="249"/>
      <c r="H192" s="249"/>
      <c r="I192" s="249"/>
      <c r="J192" s="11"/>
      <c r="K192" s="11"/>
      <c r="L192" s="11"/>
      <c r="M192" s="11"/>
      <c r="N192" s="11"/>
      <c r="O192" s="11"/>
      <c r="P192" s="12"/>
      <c r="Q192" s="46"/>
      <c r="R192" s="46"/>
      <c r="S192" s="46"/>
      <c r="T192" s="46"/>
      <c r="U192" s="46"/>
    </row>
    <row r="193" spans="1:21" s="40" customFormat="1">
      <c r="A193" s="46"/>
      <c r="B193" s="251"/>
      <c r="C193" s="249"/>
      <c r="D193" s="249"/>
      <c r="E193" s="249"/>
      <c r="F193" s="249"/>
      <c r="G193" s="249"/>
      <c r="H193" s="249"/>
      <c r="I193" s="249"/>
      <c r="J193" s="11"/>
      <c r="K193" s="11"/>
      <c r="L193" s="11"/>
      <c r="M193" s="11"/>
      <c r="N193" s="11"/>
      <c r="O193" s="11"/>
      <c r="P193" s="12"/>
      <c r="Q193" s="46"/>
      <c r="R193" s="46"/>
      <c r="S193" s="46"/>
      <c r="T193" s="46"/>
      <c r="U193" s="46"/>
    </row>
    <row r="194" spans="1:21">
      <c r="A194" s="46"/>
      <c r="B194" s="10"/>
      <c r="C194" s="11"/>
      <c r="D194" s="11"/>
      <c r="E194" s="11"/>
      <c r="F194" s="11"/>
      <c r="G194" s="11"/>
      <c r="H194" s="11"/>
      <c r="I194" s="11"/>
      <c r="J194" s="11"/>
      <c r="K194" s="11"/>
      <c r="L194" s="11"/>
      <c r="M194" s="11"/>
      <c r="N194" s="11"/>
      <c r="O194" s="11"/>
      <c r="P194" s="12"/>
      <c r="Q194" s="46"/>
      <c r="R194" s="46"/>
      <c r="S194" s="46"/>
      <c r="T194" s="46"/>
      <c r="U194" s="46"/>
    </row>
    <row r="195" spans="1:21">
      <c r="A195" s="46"/>
      <c r="B195" s="10"/>
      <c r="C195" s="11"/>
      <c r="D195" s="11"/>
      <c r="E195" s="11"/>
      <c r="F195" s="11"/>
      <c r="G195" s="11"/>
      <c r="H195" s="11"/>
      <c r="I195" s="11"/>
      <c r="J195" s="11"/>
      <c r="K195" s="11"/>
      <c r="L195" s="11"/>
      <c r="M195" s="11"/>
      <c r="N195" s="11"/>
      <c r="O195" s="11"/>
      <c r="P195" s="12"/>
      <c r="Q195" s="46"/>
      <c r="R195" s="46"/>
      <c r="S195" s="46"/>
      <c r="T195" s="46"/>
      <c r="U195" s="46"/>
    </row>
    <row r="196" spans="1:21">
      <c r="A196" s="46"/>
      <c r="B196" s="10"/>
      <c r="C196" s="11"/>
      <c r="D196" s="248" t="s">
        <v>465</v>
      </c>
      <c r="E196" s="249"/>
      <c r="F196" s="249"/>
      <c r="G196" s="249"/>
      <c r="H196" s="249"/>
      <c r="I196" s="249"/>
      <c r="J196" s="249"/>
      <c r="K196" s="249"/>
      <c r="L196" s="11"/>
      <c r="M196" s="11"/>
      <c r="N196" s="11"/>
      <c r="O196" s="11"/>
      <c r="P196" s="12"/>
      <c r="Q196" s="46"/>
      <c r="R196" s="46"/>
      <c r="S196" s="46"/>
      <c r="T196" s="46"/>
      <c r="U196" s="46"/>
    </row>
    <row r="197" spans="1:21">
      <c r="A197" s="46"/>
      <c r="B197" s="10"/>
      <c r="C197" s="11"/>
      <c r="D197" s="249" t="s">
        <v>213</v>
      </c>
      <c r="E197" s="112" t="s">
        <v>461</v>
      </c>
      <c r="F197" s="249"/>
      <c r="G197" s="249"/>
      <c r="H197" s="11" t="s">
        <v>455</v>
      </c>
      <c r="I197" s="249"/>
      <c r="J197" s="249"/>
      <c r="K197" s="249"/>
      <c r="L197" s="11"/>
      <c r="M197" s="11"/>
      <c r="N197" s="11"/>
      <c r="O197" s="11"/>
      <c r="P197" s="12"/>
      <c r="Q197" s="46"/>
      <c r="R197" s="46"/>
      <c r="S197" s="46"/>
      <c r="T197" s="46"/>
      <c r="U197" s="46"/>
    </row>
    <row r="198" spans="1:21">
      <c r="A198" s="46"/>
      <c r="B198" s="10"/>
      <c r="C198" s="11"/>
      <c r="D198" s="249"/>
      <c r="E198" s="112" t="s">
        <v>462</v>
      </c>
      <c r="F198" s="249"/>
      <c r="G198" s="249"/>
      <c r="H198" s="249"/>
      <c r="I198" s="249"/>
      <c r="J198" s="249"/>
      <c r="K198" s="249"/>
      <c r="L198" s="11"/>
      <c r="M198" s="11"/>
      <c r="N198" s="11"/>
      <c r="O198" s="11"/>
      <c r="P198" s="12"/>
      <c r="Q198" s="46"/>
      <c r="R198" s="46"/>
      <c r="S198" s="46"/>
      <c r="T198" s="46"/>
      <c r="U198" s="46"/>
    </row>
    <row r="199" spans="1:21">
      <c r="A199" s="46"/>
      <c r="B199" s="10"/>
      <c r="C199" s="11"/>
      <c r="D199" s="249"/>
      <c r="E199" s="112" t="s">
        <v>463</v>
      </c>
      <c r="F199" s="249"/>
      <c r="G199" s="249"/>
      <c r="H199" s="249"/>
      <c r="I199" s="249"/>
      <c r="J199" s="249"/>
      <c r="K199" s="249"/>
      <c r="L199" s="11"/>
      <c r="M199" s="11"/>
      <c r="N199" s="11"/>
      <c r="O199" s="11"/>
      <c r="P199" s="12"/>
      <c r="Q199" s="46"/>
      <c r="R199" s="46"/>
      <c r="S199" s="46"/>
      <c r="T199" s="46"/>
      <c r="U199" s="46"/>
    </row>
    <row r="200" spans="1:21" ht="15.5">
      <c r="A200" s="46"/>
      <c r="B200" s="252"/>
      <c r="C200" s="11"/>
      <c r="D200" s="249"/>
      <c r="E200" s="112" t="s">
        <v>464</v>
      </c>
      <c r="F200" s="249"/>
      <c r="G200" s="249"/>
      <c r="H200" s="249"/>
      <c r="I200" s="249"/>
      <c r="J200" s="249"/>
      <c r="K200" s="249"/>
      <c r="L200" s="11"/>
      <c r="M200" s="11"/>
      <c r="N200" s="11"/>
      <c r="O200" s="11"/>
      <c r="P200" s="12"/>
      <c r="Q200" s="46"/>
      <c r="R200" s="46"/>
      <c r="S200" s="46"/>
      <c r="T200" s="46"/>
      <c r="U200" s="46"/>
    </row>
    <row r="201" spans="1:21">
      <c r="A201" s="46"/>
      <c r="B201" s="10"/>
      <c r="C201" s="11"/>
      <c r="D201" s="249"/>
      <c r="E201" s="249"/>
      <c r="F201" s="249"/>
      <c r="G201" s="249"/>
      <c r="H201" s="249"/>
      <c r="I201" s="249"/>
      <c r="J201" s="249"/>
      <c r="K201" s="249"/>
      <c r="L201" s="11"/>
      <c r="M201" s="11"/>
      <c r="N201" s="11"/>
      <c r="O201" s="11"/>
      <c r="P201" s="12"/>
      <c r="Q201" s="46"/>
      <c r="R201" s="46"/>
      <c r="S201" s="46"/>
      <c r="T201" s="46"/>
      <c r="U201" s="46"/>
    </row>
    <row r="202" spans="1:21">
      <c r="A202" s="46"/>
      <c r="B202" s="10" t="s">
        <v>452</v>
      </c>
      <c r="C202" s="11"/>
      <c r="D202" s="11"/>
      <c r="E202" s="11"/>
      <c r="F202" s="11"/>
      <c r="G202" s="11"/>
      <c r="H202" s="11"/>
      <c r="I202" s="11"/>
      <c r="J202" s="11"/>
      <c r="K202" s="11"/>
      <c r="L202" s="11"/>
      <c r="M202" s="11"/>
      <c r="N202" s="11"/>
      <c r="O202" s="11"/>
      <c r="P202" s="12"/>
      <c r="Q202" s="46"/>
      <c r="R202" s="46"/>
      <c r="S202" s="46"/>
      <c r="T202" s="46"/>
      <c r="U202" s="46"/>
    </row>
    <row r="203" spans="1:21" ht="16.5">
      <c r="A203" s="46"/>
      <c r="B203" s="10"/>
      <c r="C203" s="45" t="s">
        <v>473</v>
      </c>
      <c r="D203" s="11"/>
      <c r="E203" s="11"/>
      <c r="F203" s="11"/>
      <c r="G203" s="11"/>
      <c r="H203" s="11"/>
      <c r="I203" s="11"/>
      <c r="J203" s="11"/>
      <c r="K203" s="11"/>
      <c r="L203" s="11"/>
      <c r="M203" s="11"/>
      <c r="N203" s="11"/>
      <c r="O203" s="11"/>
      <c r="P203" s="12"/>
      <c r="Q203" s="46"/>
      <c r="R203" s="46"/>
      <c r="S203" s="46"/>
      <c r="T203" s="46"/>
      <c r="U203" s="46"/>
    </row>
    <row r="204" spans="1:21">
      <c r="A204" s="46"/>
      <c r="B204" s="10"/>
      <c r="C204" s="11" t="s">
        <v>474</v>
      </c>
      <c r="D204" s="11"/>
      <c r="E204" s="11"/>
      <c r="F204" s="11"/>
      <c r="G204" s="11"/>
      <c r="H204" s="11"/>
      <c r="I204" s="11"/>
      <c r="J204" s="11"/>
      <c r="K204" s="11"/>
      <c r="L204" s="11"/>
      <c r="M204" s="11"/>
      <c r="N204" s="11"/>
      <c r="O204" s="11"/>
      <c r="P204" s="12"/>
      <c r="Q204" s="46"/>
      <c r="R204" s="46"/>
      <c r="S204" s="46"/>
      <c r="T204" s="46"/>
      <c r="U204" s="46"/>
    </row>
    <row r="205" spans="1:21" ht="16.5">
      <c r="A205" s="46"/>
      <c r="B205" s="10"/>
      <c r="C205" s="253" t="s">
        <v>453</v>
      </c>
      <c r="D205" s="11"/>
      <c r="E205" s="11"/>
      <c r="F205" s="11"/>
      <c r="G205" s="11"/>
      <c r="H205" s="11"/>
      <c r="I205" s="11"/>
      <c r="J205" s="11"/>
      <c r="K205" s="11"/>
      <c r="L205" s="11"/>
      <c r="M205" s="11"/>
      <c r="N205" s="11"/>
      <c r="O205" s="11"/>
      <c r="P205" s="12"/>
      <c r="Q205" s="46"/>
      <c r="R205" s="46"/>
      <c r="S205" s="46"/>
      <c r="T205" s="46"/>
      <c r="U205" s="46"/>
    </row>
    <row r="206" spans="1:21">
      <c r="A206" s="46"/>
      <c r="B206" s="10"/>
      <c r="C206" s="11" t="s">
        <v>454</v>
      </c>
      <c r="D206" s="11"/>
      <c r="E206" s="11"/>
      <c r="F206" s="11"/>
      <c r="G206" s="11"/>
      <c r="H206" s="11"/>
      <c r="I206" s="11"/>
      <c r="J206" s="11"/>
      <c r="K206" s="11"/>
      <c r="L206" s="11"/>
      <c r="M206" s="11"/>
      <c r="N206" s="11"/>
      <c r="O206" s="11"/>
      <c r="P206" s="12"/>
      <c r="Q206" s="46"/>
      <c r="R206" s="46"/>
      <c r="S206" s="46"/>
      <c r="T206" s="46"/>
      <c r="U206" s="46"/>
    </row>
    <row r="207" spans="1:21" ht="16.5">
      <c r="A207" s="46"/>
      <c r="B207" s="10"/>
      <c r="C207" s="253" t="s">
        <v>475</v>
      </c>
      <c r="D207" s="11"/>
      <c r="E207" s="11"/>
      <c r="F207" s="11"/>
      <c r="G207" s="11"/>
      <c r="H207" s="11"/>
      <c r="I207" s="11"/>
      <c r="J207" s="11"/>
      <c r="K207" s="11"/>
      <c r="L207" s="11"/>
      <c r="M207" s="11"/>
      <c r="N207" s="11"/>
      <c r="O207" s="11"/>
      <c r="P207" s="12"/>
      <c r="Q207" s="46"/>
      <c r="R207" s="46"/>
      <c r="S207" s="46"/>
      <c r="T207" s="46"/>
      <c r="U207" s="46"/>
    </row>
    <row r="208" spans="1:21">
      <c r="A208" s="46"/>
      <c r="B208" s="10"/>
      <c r="C208" s="11" t="s">
        <v>476</v>
      </c>
      <c r="D208" s="11"/>
      <c r="E208" s="11"/>
      <c r="F208" s="11"/>
      <c r="G208" s="11"/>
      <c r="H208" s="11"/>
      <c r="I208" s="11"/>
      <c r="J208" s="11"/>
      <c r="K208" s="11"/>
      <c r="L208" s="11"/>
      <c r="M208" s="11"/>
      <c r="N208" s="11"/>
      <c r="O208" s="11"/>
      <c r="P208" s="12"/>
      <c r="Q208" s="46"/>
      <c r="R208" s="46"/>
      <c r="S208" s="46"/>
      <c r="T208" s="46"/>
      <c r="U208" s="46"/>
    </row>
    <row r="209" spans="1:21">
      <c r="A209" s="46"/>
      <c r="B209" s="17"/>
      <c r="C209" s="18"/>
      <c r="D209" s="18"/>
      <c r="E209" s="18"/>
      <c r="F209" s="18"/>
      <c r="G209" s="18"/>
      <c r="H209" s="18"/>
      <c r="I209" s="18"/>
      <c r="J209" s="18"/>
      <c r="K209" s="18"/>
      <c r="L209" s="18"/>
      <c r="M209" s="18"/>
      <c r="N209" s="18"/>
      <c r="O209" s="18"/>
      <c r="P209" s="19"/>
      <c r="Q209" s="46"/>
      <c r="R209" s="46"/>
      <c r="S209" s="46"/>
      <c r="T209" s="46"/>
      <c r="U209" s="46"/>
    </row>
    <row r="210" spans="1:21">
      <c r="A210" s="46"/>
      <c r="B210" s="46"/>
      <c r="C210" s="46"/>
      <c r="D210" s="46"/>
      <c r="E210" s="46"/>
      <c r="F210" s="46"/>
      <c r="G210" s="46"/>
      <c r="H210" s="46"/>
      <c r="I210" s="46"/>
      <c r="J210" s="46"/>
      <c r="K210" s="46"/>
      <c r="L210" s="46"/>
      <c r="M210" s="46"/>
      <c r="N210" s="46"/>
      <c r="O210" s="46"/>
      <c r="P210" s="46"/>
      <c r="Q210" s="46"/>
      <c r="R210" s="46"/>
      <c r="S210" s="46"/>
      <c r="T210" s="46"/>
      <c r="U210" s="46"/>
    </row>
    <row r="211" spans="1:21">
      <c r="A211" s="46"/>
      <c r="B211" s="106" t="s">
        <v>621</v>
      </c>
      <c r="C211" s="8"/>
      <c r="D211" s="8"/>
      <c r="E211" s="8"/>
      <c r="F211" s="8"/>
      <c r="G211" s="8"/>
      <c r="H211" s="8"/>
      <c r="I211" s="8"/>
      <c r="J211" s="8"/>
      <c r="K211" s="8"/>
      <c r="L211" s="8"/>
      <c r="M211" s="8"/>
      <c r="N211" s="8"/>
      <c r="O211" s="8"/>
      <c r="P211" s="9"/>
      <c r="Q211" s="46"/>
      <c r="R211" s="46"/>
      <c r="S211" s="46"/>
      <c r="T211" s="46"/>
      <c r="U211" s="46"/>
    </row>
    <row r="212" spans="1:21">
      <c r="A212" s="46"/>
      <c r="B212" s="348" t="s">
        <v>622</v>
      </c>
      <c r="C212" s="11"/>
      <c r="D212" s="11"/>
      <c r="E212" s="11"/>
      <c r="F212" s="11"/>
      <c r="G212" s="11"/>
      <c r="H212" s="11"/>
      <c r="I212" s="11"/>
      <c r="J212" s="11"/>
      <c r="K212" s="11"/>
      <c r="L212" s="11"/>
      <c r="M212" s="11"/>
      <c r="N212" s="11"/>
      <c r="O212" s="11"/>
      <c r="P212" s="12"/>
      <c r="Q212" s="46"/>
      <c r="R212" s="46"/>
      <c r="S212" s="46"/>
      <c r="T212" s="46"/>
      <c r="U212" s="46"/>
    </row>
    <row r="213" spans="1:21" ht="16.5">
      <c r="A213" s="46"/>
      <c r="B213" s="348" t="s">
        <v>627</v>
      </c>
      <c r="C213" s="11"/>
      <c r="D213" s="11"/>
      <c r="E213" s="11"/>
      <c r="F213" s="11"/>
      <c r="G213" s="11"/>
      <c r="H213" s="11"/>
      <c r="I213" s="11"/>
      <c r="J213" s="11"/>
      <c r="K213" s="11"/>
      <c r="L213" s="11"/>
      <c r="M213" s="11"/>
      <c r="N213" s="11"/>
      <c r="O213" s="11"/>
      <c r="P213" s="12"/>
      <c r="Q213" s="46"/>
      <c r="R213" s="46"/>
      <c r="S213" s="46"/>
      <c r="T213" s="46"/>
      <c r="U213" s="46"/>
    </row>
    <row r="214" spans="1:21" ht="17.5">
      <c r="A214" s="46"/>
      <c r="B214" s="348" t="s">
        <v>628</v>
      </c>
      <c r="C214" s="11"/>
      <c r="D214" s="11"/>
      <c r="E214" s="11"/>
      <c r="F214" s="11"/>
      <c r="G214" s="11"/>
      <c r="H214" s="11"/>
      <c r="I214" s="11"/>
      <c r="J214" s="11"/>
      <c r="K214" s="11"/>
      <c r="L214" s="11"/>
      <c r="M214" s="11"/>
      <c r="N214" s="11"/>
      <c r="O214" s="11"/>
      <c r="P214" s="12"/>
      <c r="Q214" s="46"/>
      <c r="R214" s="46"/>
      <c r="S214" s="46"/>
      <c r="T214" s="46"/>
      <c r="U214" s="46"/>
    </row>
    <row r="215" spans="1:21">
      <c r="A215" s="46"/>
      <c r="B215" s="348" t="s">
        <v>629</v>
      </c>
      <c r="C215" s="11"/>
      <c r="D215" s="11"/>
      <c r="E215" s="11"/>
      <c r="F215" s="11"/>
      <c r="G215" s="11"/>
      <c r="H215" s="11"/>
      <c r="I215" s="11"/>
      <c r="J215" s="11"/>
      <c r="K215" s="11"/>
      <c r="L215" s="11"/>
      <c r="M215" s="11"/>
      <c r="N215" s="11"/>
      <c r="O215" s="11"/>
      <c r="P215" s="12"/>
      <c r="Q215" s="46"/>
      <c r="R215" s="46"/>
      <c r="S215" s="46"/>
      <c r="T215" s="46"/>
      <c r="U215" s="46"/>
    </row>
    <row r="216" spans="1:21">
      <c r="A216" s="46"/>
      <c r="B216" s="348" t="s">
        <v>630</v>
      </c>
      <c r="C216" s="11"/>
      <c r="D216" s="11"/>
      <c r="E216" s="11"/>
      <c r="F216" s="11"/>
      <c r="G216" s="11"/>
      <c r="H216" s="11"/>
      <c r="I216" s="11"/>
      <c r="J216" s="11"/>
      <c r="K216" s="11"/>
      <c r="L216" s="11"/>
      <c r="M216" s="11"/>
      <c r="N216" s="11"/>
      <c r="O216" s="11"/>
      <c r="P216" s="12"/>
      <c r="Q216" s="46"/>
      <c r="R216" s="46"/>
      <c r="S216" s="46"/>
      <c r="T216" s="46"/>
      <c r="U216" s="46"/>
    </row>
    <row r="217" spans="1:21">
      <c r="A217" s="46"/>
      <c r="B217" s="348" t="s">
        <v>631</v>
      </c>
      <c r="C217" s="11"/>
      <c r="D217" s="11"/>
      <c r="E217" s="11"/>
      <c r="F217" s="11"/>
      <c r="G217" s="11"/>
      <c r="H217" s="11"/>
      <c r="I217" s="11"/>
      <c r="J217" s="11"/>
      <c r="K217" s="11"/>
      <c r="L217" s="11"/>
      <c r="M217" s="11"/>
      <c r="N217" s="11"/>
      <c r="O217" s="11"/>
      <c r="P217" s="12"/>
      <c r="Q217" s="46"/>
      <c r="R217" s="46"/>
      <c r="S217" s="46"/>
      <c r="T217" s="46"/>
      <c r="U217" s="46"/>
    </row>
    <row r="218" spans="1:21" s="40" customFormat="1" ht="16.5">
      <c r="A218" s="46"/>
      <c r="B218" s="348" t="s">
        <v>632</v>
      </c>
      <c r="C218" s="11"/>
      <c r="D218" s="11"/>
      <c r="E218" s="11"/>
      <c r="F218" s="11"/>
      <c r="G218" s="11"/>
      <c r="H218" s="11"/>
      <c r="I218" s="11"/>
      <c r="J218" s="11"/>
      <c r="K218" s="11"/>
      <c r="L218" s="11"/>
      <c r="M218" s="11"/>
      <c r="N218" s="11"/>
      <c r="O218" s="11"/>
      <c r="P218" s="12"/>
      <c r="Q218" s="46"/>
      <c r="R218" s="46"/>
      <c r="S218" s="46"/>
      <c r="T218" s="46"/>
      <c r="U218" s="46"/>
    </row>
    <row r="219" spans="1:21" s="40" customFormat="1">
      <c r="A219" s="46"/>
      <c r="B219" s="348" t="s">
        <v>633</v>
      </c>
      <c r="C219" s="11"/>
      <c r="D219" s="11"/>
      <c r="E219" s="11"/>
      <c r="F219" s="11"/>
      <c r="G219" s="11"/>
      <c r="H219" s="11"/>
      <c r="I219" s="11"/>
      <c r="J219" s="11"/>
      <c r="K219" s="11"/>
      <c r="L219" s="11"/>
      <c r="M219" s="11"/>
      <c r="N219" s="11"/>
      <c r="O219" s="11"/>
      <c r="P219" s="12"/>
      <c r="Q219" s="46"/>
      <c r="R219" s="46"/>
      <c r="S219" s="46"/>
      <c r="T219" s="46"/>
      <c r="U219" s="46"/>
    </row>
    <row r="220" spans="1:21" s="40" customFormat="1">
      <c r="A220" s="46"/>
      <c r="B220" s="348" t="s">
        <v>749</v>
      </c>
      <c r="C220" s="11"/>
      <c r="D220" s="11"/>
      <c r="E220" s="11"/>
      <c r="F220" s="11"/>
      <c r="G220" s="11"/>
      <c r="H220" s="11"/>
      <c r="I220" s="11"/>
      <c r="J220" s="11"/>
      <c r="K220" s="11"/>
      <c r="L220" s="11"/>
      <c r="M220" s="11"/>
      <c r="N220" s="11"/>
      <c r="O220" s="11"/>
      <c r="P220" s="12"/>
      <c r="Q220" s="46"/>
      <c r="R220" s="46"/>
      <c r="S220" s="46"/>
      <c r="T220" s="46"/>
      <c r="U220" s="46"/>
    </row>
    <row r="221" spans="1:21">
      <c r="A221" s="46"/>
      <c r="B221" s="10" t="s">
        <v>634</v>
      </c>
      <c r="C221" s="11"/>
      <c r="D221" s="11"/>
      <c r="E221" s="11"/>
      <c r="F221" s="11"/>
      <c r="G221" s="11"/>
      <c r="H221" s="11"/>
      <c r="I221" s="11"/>
      <c r="J221" s="11"/>
      <c r="K221" s="11"/>
      <c r="L221" s="11"/>
      <c r="M221" s="11"/>
      <c r="N221" s="11"/>
      <c r="O221" s="11"/>
      <c r="P221" s="12"/>
      <c r="Q221" s="46"/>
      <c r="R221" s="46"/>
      <c r="S221" s="46"/>
      <c r="T221" s="46"/>
      <c r="U221" s="46"/>
    </row>
    <row r="222" spans="1:21">
      <c r="A222" s="46"/>
      <c r="B222" s="10" t="s">
        <v>452</v>
      </c>
      <c r="C222" s="11"/>
      <c r="D222" s="11"/>
      <c r="E222" s="11"/>
      <c r="F222" s="11"/>
      <c r="G222" s="11"/>
      <c r="H222" s="11"/>
      <c r="I222" s="11"/>
      <c r="J222" s="11"/>
      <c r="K222" s="11"/>
      <c r="L222" s="11"/>
      <c r="M222" s="11"/>
      <c r="N222" s="11"/>
      <c r="O222" s="11"/>
      <c r="P222" s="12"/>
      <c r="Q222" s="46"/>
      <c r="R222" s="46"/>
      <c r="S222" s="46"/>
      <c r="T222" s="46"/>
      <c r="U222" s="46"/>
    </row>
    <row r="223" spans="1:21" ht="16.5">
      <c r="A223" s="46"/>
      <c r="B223" s="10"/>
      <c r="C223" s="349" t="s">
        <v>732</v>
      </c>
      <c r="D223" s="11"/>
      <c r="E223" s="11"/>
      <c r="F223" s="11"/>
      <c r="G223" s="11"/>
      <c r="H223" s="11"/>
      <c r="I223" s="11"/>
      <c r="J223" s="11"/>
      <c r="K223" s="11"/>
      <c r="L223" s="11"/>
      <c r="M223" s="11"/>
      <c r="N223" s="11"/>
      <c r="O223" s="11"/>
      <c r="P223" s="12"/>
      <c r="Q223" s="46"/>
      <c r="R223" s="46"/>
      <c r="S223" s="46"/>
      <c r="T223" s="46"/>
      <c r="U223" s="46"/>
    </row>
    <row r="224" spans="1:21" ht="16.5">
      <c r="A224" s="46"/>
      <c r="B224" s="10"/>
      <c r="C224" s="11" t="s">
        <v>623</v>
      </c>
      <c r="D224" s="11"/>
      <c r="E224" s="11"/>
      <c r="F224" s="11"/>
      <c r="G224" s="11"/>
      <c r="H224" s="11"/>
      <c r="I224" s="11"/>
      <c r="J224" s="11"/>
      <c r="K224" s="11"/>
      <c r="L224" s="11"/>
      <c r="M224" s="11"/>
      <c r="N224" s="11"/>
      <c r="O224" s="11"/>
      <c r="P224" s="12"/>
      <c r="Q224" s="46"/>
      <c r="R224" s="46"/>
      <c r="S224" s="46"/>
      <c r="T224" s="46"/>
      <c r="U224" s="46"/>
    </row>
    <row r="225" spans="1:21" s="40" customFormat="1">
      <c r="A225" s="46"/>
      <c r="B225" s="10"/>
      <c r="C225" s="11" t="s">
        <v>624</v>
      </c>
      <c r="D225" s="11"/>
      <c r="E225" s="11"/>
      <c r="F225" s="11"/>
      <c r="G225" s="11"/>
      <c r="H225" s="11"/>
      <c r="I225" s="11"/>
      <c r="J225" s="11"/>
      <c r="K225" s="11"/>
      <c r="L225" s="11"/>
      <c r="M225" s="11"/>
      <c r="N225" s="11"/>
      <c r="O225" s="11"/>
      <c r="P225" s="12"/>
      <c r="Q225" s="46"/>
      <c r="R225" s="46"/>
      <c r="S225" s="46"/>
      <c r="T225" s="46"/>
      <c r="U225" s="46"/>
    </row>
    <row r="226" spans="1:21" ht="16.5">
      <c r="A226" s="46"/>
      <c r="B226" s="10"/>
      <c r="C226" s="53" t="s">
        <v>625</v>
      </c>
      <c r="D226" s="11"/>
      <c r="E226" s="11"/>
      <c r="F226" s="11"/>
      <c r="G226" s="11"/>
      <c r="H226" s="11"/>
      <c r="I226" s="11"/>
      <c r="J226" s="11"/>
      <c r="K226" s="11"/>
      <c r="L226" s="11"/>
      <c r="M226" s="11"/>
      <c r="N226" s="11"/>
      <c r="O226" s="11"/>
      <c r="P226" s="12"/>
      <c r="Q226" s="46"/>
      <c r="R226" s="46"/>
      <c r="S226" s="46"/>
      <c r="T226" s="46"/>
      <c r="U226" s="46"/>
    </row>
    <row r="227" spans="1:21" s="40" customFormat="1">
      <c r="A227" s="46"/>
      <c r="B227" s="10"/>
      <c r="C227" s="53" t="s">
        <v>626</v>
      </c>
      <c r="D227" s="11"/>
      <c r="E227" s="11"/>
      <c r="F227" s="11"/>
      <c r="G227" s="11"/>
      <c r="H227" s="11"/>
      <c r="I227" s="11"/>
      <c r="J227" s="11"/>
      <c r="K227" s="11"/>
      <c r="L227" s="11"/>
      <c r="M227" s="11"/>
      <c r="N227" s="11"/>
      <c r="O227" s="11"/>
      <c r="P227" s="12"/>
      <c r="Q227" s="46"/>
      <c r="R227" s="46"/>
      <c r="S227" s="46"/>
      <c r="T227" s="46"/>
      <c r="U227" s="46"/>
    </row>
    <row r="228" spans="1:21" ht="16.5">
      <c r="A228" s="46"/>
      <c r="B228" s="10"/>
      <c r="C228" s="11" t="s">
        <v>730</v>
      </c>
      <c r="D228" s="11"/>
      <c r="E228" s="11"/>
      <c r="F228" s="11"/>
      <c r="G228" s="11"/>
      <c r="H228" s="11"/>
      <c r="I228" s="11"/>
      <c r="J228" s="11"/>
      <c r="K228" s="11"/>
      <c r="L228" s="11"/>
      <c r="M228" s="11"/>
      <c r="N228" s="11"/>
      <c r="O228" s="11"/>
      <c r="P228" s="12"/>
      <c r="Q228" s="46"/>
      <c r="R228" s="46"/>
      <c r="S228" s="46"/>
      <c r="T228" s="46"/>
      <c r="U228" s="46"/>
    </row>
    <row r="229" spans="1:21">
      <c r="A229" s="46"/>
      <c r="B229" s="17"/>
      <c r="C229" s="18" t="s">
        <v>731</v>
      </c>
      <c r="D229" s="18"/>
      <c r="E229" s="18"/>
      <c r="F229" s="18"/>
      <c r="G229" s="18"/>
      <c r="H229" s="18"/>
      <c r="I229" s="18"/>
      <c r="J229" s="18"/>
      <c r="K229" s="18"/>
      <c r="L229" s="18"/>
      <c r="M229" s="18"/>
      <c r="N229" s="18"/>
      <c r="O229" s="18"/>
      <c r="P229" s="19"/>
      <c r="Q229" s="46"/>
      <c r="R229" s="46"/>
      <c r="S229" s="46"/>
      <c r="T229" s="46"/>
      <c r="U229" s="46"/>
    </row>
    <row r="230" spans="1:21">
      <c r="A230" s="46"/>
      <c r="B230" s="46"/>
      <c r="C230" s="46"/>
      <c r="D230" s="46"/>
      <c r="E230" s="46"/>
      <c r="F230" s="46"/>
      <c r="G230" s="46"/>
      <c r="H230" s="46"/>
      <c r="I230" s="46"/>
      <c r="J230" s="46"/>
      <c r="K230" s="46"/>
      <c r="L230" s="46"/>
      <c r="M230" s="46"/>
      <c r="N230" s="46"/>
      <c r="O230" s="46"/>
      <c r="P230" s="46"/>
      <c r="Q230" s="46"/>
      <c r="R230" s="46"/>
      <c r="S230" s="46"/>
      <c r="T230" s="46"/>
      <c r="U230" s="46"/>
    </row>
    <row r="231" spans="1:21">
      <c r="A231" s="46"/>
      <c r="B231" s="46"/>
      <c r="C231" s="46"/>
      <c r="D231" s="46"/>
      <c r="E231" s="46"/>
      <c r="F231" s="46"/>
      <c r="G231" s="46"/>
      <c r="H231" s="46"/>
      <c r="I231" s="46"/>
      <c r="J231" s="46"/>
      <c r="K231" s="46"/>
      <c r="L231" s="46"/>
      <c r="M231" s="46"/>
      <c r="N231" s="46"/>
      <c r="O231" s="46"/>
      <c r="P231" s="46"/>
      <c r="Q231" s="46"/>
      <c r="R231" s="46"/>
      <c r="S231" s="46"/>
      <c r="T231" s="46"/>
      <c r="U231" s="46"/>
    </row>
    <row r="232" spans="1:21">
      <c r="A232" s="46"/>
      <c r="B232" s="46"/>
      <c r="C232" s="46"/>
      <c r="D232" s="46"/>
      <c r="E232" s="46"/>
      <c r="F232" s="46"/>
      <c r="G232" s="46"/>
      <c r="H232" s="46"/>
      <c r="I232" s="46"/>
      <c r="J232" s="46"/>
      <c r="K232" s="46"/>
      <c r="L232" s="46"/>
      <c r="M232" s="46"/>
      <c r="N232" s="46"/>
      <c r="O232" s="46"/>
      <c r="P232" s="46"/>
      <c r="Q232" s="46"/>
      <c r="R232" s="46"/>
      <c r="S232" s="46"/>
      <c r="T232" s="46"/>
      <c r="U232" s="46"/>
    </row>
    <row r="233" spans="1:21">
      <c r="A233" s="46"/>
      <c r="B233" s="46"/>
      <c r="C233" s="46"/>
      <c r="D233" s="46"/>
      <c r="E233" s="46"/>
      <c r="F233" s="46"/>
      <c r="G233" s="46"/>
      <c r="H233" s="46"/>
      <c r="I233" s="46"/>
      <c r="J233" s="46"/>
      <c r="K233" s="46"/>
      <c r="L233" s="46"/>
      <c r="M233" s="46"/>
      <c r="N233" s="46"/>
      <c r="O233" s="46"/>
      <c r="P233" s="46"/>
      <c r="Q233" s="46"/>
      <c r="R233" s="46"/>
      <c r="S233" s="46"/>
      <c r="T233" s="46"/>
      <c r="U233" s="46"/>
    </row>
    <row r="234" spans="1:21">
      <c r="A234" s="46"/>
      <c r="B234" s="46"/>
      <c r="C234" s="46"/>
      <c r="D234" s="46"/>
      <c r="E234" s="46"/>
      <c r="F234" s="46"/>
      <c r="G234" s="46"/>
      <c r="H234" s="46"/>
      <c r="I234" s="46"/>
      <c r="J234" s="46"/>
      <c r="K234" s="46"/>
      <c r="L234" s="46"/>
      <c r="M234" s="46"/>
      <c r="N234" s="46"/>
      <c r="O234" s="46"/>
      <c r="P234" s="46"/>
      <c r="Q234" s="46"/>
      <c r="R234" s="46"/>
      <c r="S234" s="46"/>
      <c r="T234" s="46"/>
      <c r="U234" s="46"/>
    </row>
    <row r="235" spans="1:21">
      <c r="A235" s="46"/>
      <c r="B235" s="46"/>
      <c r="C235" s="46"/>
      <c r="D235" s="46"/>
      <c r="E235" s="46"/>
      <c r="F235" s="46"/>
      <c r="G235" s="46"/>
      <c r="H235" s="46"/>
      <c r="I235" s="46"/>
      <c r="J235" s="46"/>
      <c r="K235" s="46"/>
      <c r="L235" s="46"/>
      <c r="M235" s="46"/>
      <c r="N235" s="46"/>
      <c r="O235" s="46"/>
      <c r="P235" s="46"/>
      <c r="Q235" s="46"/>
      <c r="R235" s="46"/>
      <c r="S235" s="46"/>
      <c r="T235" s="46"/>
      <c r="U235" s="46"/>
    </row>
    <row r="236" spans="1:21">
      <c r="A236" s="46"/>
      <c r="B236" s="46"/>
      <c r="C236" s="46"/>
      <c r="D236" s="46"/>
      <c r="E236" s="46"/>
      <c r="F236" s="46"/>
      <c r="G236" s="46"/>
      <c r="H236" s="46"/>
      <c r="I236" s="46"/>
      <c r="J236" s="46"/>
      <c r="K236" s="46"/>
      <c r="L236" s="46"/>
      <c r="M236" s="46"/>
      <c r="N236" s="46"/>
      <c r="O236" s="46"/>
      <c r="P236" s="46"/>
      <c r="Q236" s="46"/>
      <c r="R236" s="46"/>
      <c r="S236" s="46"/>
      <c r="T236" s="46"/>
      <c r="U236" s="46"/>
    </row>
    <row r="237" spans="1:21">
      <c r="A237" s="46"/>
      <c r="B237" s="46"/>
      <c r="C237" s="46"/>
      <c r="D237" s="46"/>
      <c r="E237" s="46"/>
      <c r="F237" s="46"/>
      <c r="G237" s="46"/>
      <c r="H237" s="46"/>
      <c r="I237" s="46"/>
      <c r="J237" s="46"/>
      <c r="K237" s="46"/>
      <c r="L237" s="46"/>
      <c r="M237" s="46"/>
      <c r="N237" s="46"/>
      <c r="O237" s="46"/>
      <c r="P237" s="46"/>
      <c r="Q237" s="46"/>
      <c r="R237" s="46"/>
      <c r="S237" s="46"/>
      <c r="T237" s="46"/>
      <c r="U237" s="46"/>
    </row>
    <row r="238" spans="1:21">
      <c r="A238" s="46"/>
      <c r="B238" s="46"/>
      <c r="C238" s="46"/>
      <c r="D238" s="46"/>
      <c r="E238" s="46"/>
      <c r="F238" s="46"/>
      <c r="G238" s="46"/>
      <c r="H238" s="46"/>
      <c r="I238" s="46"/>
      <c r="J238" s="46"/>
      <c r="K238" s="46"/>
      <c r="L238" s="46"/>
      <c r="M238" s="46"/>
      <c r="N238" s="46"/>
      <c r="O238" s="46"/>
      <c r="P238" s="46"/>
      <c r="Q238" s="46"/>
      <c r="R238" s="46"/>
      <c r="S238" s="46"/>
      <c r="T238" s="46"/>
      <c r="U238" s="46"/>
    </row>
    <row r="239" spans="1:21">
      <c r="A239" s="46"/>
      <c r="B239" s="46"/>
      <c r="C239" s="46"/>
      <c r="D239" s="46"/>
      <c r="E239" s="46"/>
      <c r="F239" s="46"/>
      <c r="G239" s="46"/>
      <c r="H239" s="46"/>
      <c r="I239" s="46"/>
      <c r="J239" s="46"/>
      <c r="K239" s="46"/>
      <c r="L239" s="46"/>
      <c r="M239" s="46"/>
      <c r="N239" s="46"/>
      <c r="O239" s="46"/>
      <c r="P239" s="46"/>
      <c r="Q239" s="46"/>
      <c r="R239" s="46"/>
      <c r="S239" s="46"/>
      <c r="T239" s="46"/>
      <c r="U239" s="46"/>
    </row>
    <row r="240" spans="1:21">
      <c r="A240" s="46"/>
      <c r="B240" s="46"/>
      <c r="C240" s="46"/>
      <c r="D240" s="46"/>
      <c r="E240" s="46"/>
      <c r="F240" s="46"/>
      <c r="G240" s="46"/>
      <c r="H240" s="46"/>
      <c r="I240" s="46"/>
      <c r="J240" s="46"/>
      <c r="K240" s="46"/>
      <c r="L240" s="46"/>
      <c r="M240" s="46"/>
      <c r="N240" s="46"/>
      <c r="O240" s="46"/>
      <c r="P240" s="46"/>
      <c r="Q240" s="46"/>
      <c r="R240" s="46"/>
      <c r="S240" s="46"/>
      <c r="T240" s="46"/>
      <c r="U240" s="46"/>
    </row>
    <row r="241" spans="1:21">
      <c r="A241" s="46"/>
      <c r="B241" s="46"/>
      <c r="C241" s="46"/>
      <c r="D241" s="46"/>
      <c r="E241" s="46"/>
      <c r="F241" s="46"/>
      <c r="G241" s="46"/>
      <c r="H241" s="46"/>
      <c r="I241" s="46"/>
      <c r="J241" s="46"/>
      <c r="K241" s="46"/>
      <c r="L241" s="46"/>
      <c r="M241" s="46"/>
      <c r="N241" s="46"/>
      <c r="O241" s="46"/>
      <c r="P241" s="46"/>
      <c r="Q241" s="46"/>
      <c r="R241" s="46"/>
      <c r="S241" s="46"/>
      <c r="T241" s="46"/>
      <c r="U241" s="46"/>
    </row>
    <row r="242" spans="1:21">
      <c r="A242" s="46"/>
      <c r="B242" s="46"/>
      <c r="C242" s="46"/>
      <c r="D242" s="46"/>
      <c r="E242" s="46"/>
      <c r="F242" s="46"/>
      <c r="G242" s="46"/>
      <c r="H242" s="46"/>
      <c r="I242" s="46"/>
      <c r="J242" s="46"/>
      <c r="K242" s="46"/>
      <c r="L242" s="46"/>
      <c r="M242" s="46"/>
      <c r="N242" s="46"/>
      <c r="O242" s="46"/>
      <c r="P242" s="46"/>
      <c r="Q242" s="46"/>
      <c r="R242" s="46"/>
      <c r="S242" s="46"/>
      <c r="T242" s="46"/>
      <c r="U242" s="46"/>
    </row>
    <row r="243" spans="1:21">
      <c r="A243" s="46"/>
      <c r="B243" s="46"/>
      <c r="C243" s="46"/>
      <c r="D243" s="46"/>
      <c r="E243" s="46"/>
      <c r="F243" s="46"/>
      <c r="G243" s="46"/>
      <c r="H243" s="46"/>
      <c r="I243" s="46"/>
      <c r="J243" s="46"/>
      <c r="K243" s="46"/>
      <c r="L243" s="46"/>
      <c r="M243" s="46"/>
      <c r="N243" s="46"/>
      <c r="O243" s="46"/>
      <c r="P243" s="46"/>
      <c r="Q243" s="46"/>
      <c r="R243" s="46"/>
      <c r="S243" s="46"/>
      <c r="T243" s="46"/>
      <c r="U243" s="46"/>
    </row>
    <row r="244" spans="1:21">
      <c r="A244" s="46"/>
      <c r="B244" s="46"/>
      <c r="C244" s="46"/>
      <c r="D244" s="46"/>
      <c r="E244" s="46"/>
      <c r="F244" s="46"/>
      <c r="G244" s="46"/>
      <c r="H244" s="46"/>
      <c r="I244" s="46"/>
      <c r="J244" s="46"/>
      <c r="K244" s="46"/>
      <c r="L244" s="46"/>
      <c r="M244" s="46"/>
      <c r="N244" s="46"/>
      <c r="O244" s="46"/>
      <c r="P244" s="46"/>
      <c r="Q244" s="46"/>
      <c r="R244" s="46"/>
      <c r="S244" s="46"/>
      <c r="T244" s="46"/>
      <c r="U244" s="46"/>
    </row>
    <row r="245" spans="1:21">
      <c r="A245" s="46"/>
      <c r="B245" s="46"/>
      <c r="C245" s="46"/>
      <c r="D245" s="46"/>
      <c r="E245" s="46"/>
      <c r="F245" s="46"/>
      <c r="G245" s="46"/>
      <c r="H245" s="46"/>
      <c r="I245" s="46"/>
      <c r="J245" s="46"/>
      <c r="K245" s="46"/>
      <c r="L245" s="46"/>
      <c r="M245" s="46"/>
      <c r="N245" s="46"/>
      <c r="O245" s="46"/>
      <c r="P245" s="46"/>
      <c r="Q245" s="46"/>
      <c r="R245" s="46"/>
      <c r="S245" s="46"/>
      <c r="T245" s="46"/>
      <c r="U245" s="46"/>
    </row>
    <row r="246" spans="1:21">
      <c r="A246" s="46"/>
      <c r="B246" s="46"/>
      <c r="C246" s="46"/>
      <c r="D246" s="46"/>
      <c r="E246" s="46"/>
      <c r="F246" s="46"/>
      <c r="G246" s="46"/>
      <c r="H246" s="46"/>
      <c r="I246" s="46"/>
      <c r="J246" s="46"/>
      <c r="K246" s="46"/>
      <c r="L246" s="46"/>
      <c r="M246" s="46"/>
      <c r="N246" s="46"/>
      <c r="O246" s="46"/>
      <c r="P246" s="46"/>
      <c r="Q246" s="46"/>
      <c r="R246" s="46"/>
      <c r="S246" s="46"/>
      <c r="T246" s="46"/>
      <c r="U246" s="46"/>
    </row>
    <row r="247" spans="1:21">
      <c r="A247" s="46"/>
      <c r="B247" s="46"/>
      <c r="C247" s="46"/>
      <c r="D247" s="46"/>
      <c r="E247" s="46"/>
      <c r="F247" s="46"/>
      <c r="G247" s="46"/>
      <c r="H247" s="46"/>
      <c r="I247" s="46"/>
      <c r="J247" s="46"/>
      <c r="K247" s="46"/>
      <c r="L247" s="46"/>
      <c r="M247" s="46"/>
      <c r="N247" s="46"/>
      <c r="O247" s="46"/>
      <c r="P247" s="46"/>
      <c r="Q247" s="46"/>
      <c r="R247" s="46"/>
      <c r="S247" s="46"/>
      <c r="T247" s="46"/>
      <c r="U247" s="46"/>
    </row>
    <row r="248" spans="1:21">
      <c r="A248" s="46"/>
      <c r="B248" s="46"/>
      <c r="C248" s="46"/>
      <c r="D248" s="46"/>
      <c r="E248" s="46"/>
      <c r="F248" s="46"/>
      <c r="G248" s="46"/>
      <c r="H248" s="46"/>
      <c r="I248" s="46"/>
      <c r="J248" s="46"/>
      <c r="K248" s="46"/>
      <c r="L248" s="46"/>
      <c r="M248" s="46"/>
      <c r="N248" s="46"/>
      <c r="O248" s="46"/>
      <c r="P248" s="46"/>
      <c r="Q248" s="46"/>
      <c r="R248" s="46"/>
      <c r="S248" s="46"/>
      <c r="T248" s="46"/>
      <c r="U248" s="46"/>
    </row>
    <row r="249" spans="1:21">
      <c r="A249" s="46"/>
      <c r="B249" s="46"/>
      <c r="C249" s="46"/>
      <c r="D249" s="46"/>
      <c r="E249" s="46"/>
      <c r="F249" s="46"/>
      <c r="G249" s="46"/>
      <c r="H249" s="46"/>
      <c r="I249" s="46"/>
      <c r="J249" s="46"/>
      <c r="K249" s="46"/>
      <c r="L249" s="46"/>
      <c r="M249" s="46"/>
      <c r="N249" s="46"/>
      <c r="O249" s="46"/>
      <c r="P249" s="46"/>
      <c r="Q249" s="46"/>
      <c r="R249" s="46"/>
      <c r="S249" s="46"/>
      <c r="T249" s="46"/>
      <c r="U249" s="46"/>
    </row>
    <row r="250" spans="1:21">
      <c r="A250" s="46"/>
      <c r="B250" s="46"/>
      <c r="C250" s="46"/>
      <c r="D250" s="46"/>
      <c r="E250" s="46"/>
      <c r="F250" s="46"/>
      <c r="G250" s="46"/>
      <c r="H250" s="46"/>
      <c r="I250" s="46"/>
      <c r="J250" s="46"/>
      <c r="K250" s="46"/>
      <c r="L250" s="46"/>
      <c r="M250" s="46"/>
      <c r="N250" s="46"/>
      <c r="O250" s="46"/>
      <c r="P250" s="46"/>
      <c r="Q250" s="46"/>
      <c r="R250" s="46"/>
      <c r="S250" s="46"/>
      <c r="T250" s="46"/>
      <c r="U250" s="46"/>
    </row>
    <row r="251" spans="1:21">
      <c r="A251" s="46"/>
      <c r="B251" s="46"/>
      <c r="C251" s="46"/>
      <c r="D251" s="46"/>
      <c r="E251" s="46"/>
      <c r="F251" s="46"/>
      <c r="G251" s="46"/>
      <c r="H251" s="46"/>
      <c r="I251" s="46"/>
      <c r="J251" s="46"/>
      <c r="K251" s="46"/>
      <c r="L251" s="46"/>
      <c r="M251" s="46"/>
      <c r="N251" s="46"/>
      <c r="O251" s="46"/>
      <c r="P251" s="46"/>
      <c r="Q251" s="46"/>
      <c r="R251" s="46"/>
      <c r="S251" s="46"/>
      <c r="T251" s="46"/>
      <c r="U251" s="46"/>
    </row>
    <row r="252" spans="1:21">
      <c r="A252" s="46"/>
      <c r="B252" s="46"/>
      <c r="C252" s="46"/>
      <c r="D252" s="46"/>
      <c r="E252" s="46"/>
      <c r="F252" s="46"/>
      <c r="G252" s="46"/>
      <c r="H252" s="46"/>
      <c r="I252" s="46"/>
      <c r="J252" s="46"/>
      <c r="K252" s="46"/>
      <c r="L252" s="46"/>
      <c r="M252" s="46"/>
      <c r="N252" s="46"/>
      <c r="O252" s="46"/>
      <c r="P252" s="46"/>
      <c r="Q252" s="46"/>
      <c r="R252" s="46"/>
      <c r="S252" s="46"/>
      <c r="T252" s="46"/>
      <c r="U252" s="46"/>
    </row>
    <row r="253" spans="1:21">
      <c r="A253" s="46"/>
      <c r="B253" s="46"/>
      <c r="C253" s="46"/>
      <c r="D253" s="46"/>
      <c r="E253" s="46"/>
      <c r="F253" s="46"/>
      <c r="G253" s="46"/>
      <c r="H253" s="46"/>
      <c r="I253" s="46"/>
      <c r="J253" s="46"/>
      <c r="K253" s="46"/>
      <c r="L253" s="46"/>
      <c r="M253" s="46"/>
      <c r="N253" s="46"/>
      <c r="O253" s="46"/>
      <c r="P253" s="46"/>
      <c r="Q253" s="46"/>
      <c r="R253" s="46"/>
      <c r="S253" s="46"/>
      <c r="T253" s="46"/>
      <c r="U253" s="46"/>
    </row>
    <row r="254" spans="1:21">
      <c r="A254" s="46"/>
      <c r="B254" s="46"/>
      <c r="C254" s="46"/>
      <c r="D254" s="46"/>
      <c r="E254" s="46"/>
      <c r="F254" s="46"/>
      <c r="G254" s="46"/>
      <c r="H254" s="46"/>
      <c r="I254" s="46"/>
      <c r="J254" s="46"/>
      <c r="K254" s="46"/>
      <c r="L254" s="46"/>
      <c r="M254" s="46"/>
      <c r="N254" s="46"/>
      <c r="O254" s="46"/>
      <c r="P254" s="46"/>
      <c r="Q254" s="46"/>
      <c r="R254" s="46"/>
      <c r="S254" s="46"/>
      <c r="T254" s="46"/>
      <c r="U254" s="46"/>
    </row>
    <row r="255" spans="1:21">
      <c r="A255" s="46"/>
      <c r="B255" s="46"/>
      <c r="C255" s="46"/>
      <c r="D255" s="46"/>
      <c r="E255" s="46"/>
      <c r="F255" s="46"/>
      <c r="G255" s="46"/>
      <c r="H255" s="46"/>
      <c r="I255" s="46"/>
      <c r="J255" s="46"/>
      <c r="K255" s="46"/>
      <c r="L255" s="46"/>
      <c r="M255" s="46"/>
      <c r="N255" s="46"/>
      <c r="O255" s="46"/>
      <c r="P255" s="46"/>
      <c r="Q255" s="46"/>
      <c r="R255" s="46"/>
      <c r="S255" s="46"/>
      <c r="T255" s="46"/>
      <c r="U255" s="46"/>
    </row>
    <row r="256" spans="1:21">
      <c r="A256" s="46"/>
      <c r="B256" s="46"/>
      <c r="C256" s="46"/>
      <c r="D256" s="46"/>
      <c r="E256" s="46"/>
      <c r="F256" s="46"/>
      <c r="G256" s="46"/>
      <c r="H256" s="46"/>
      <c r="I256" s="46"/>
      <c r="J256" s="46"/>
      <c r="K256" s="46"/>
      <c r="L256" s="46"/>
      <c r="M256" s="46"/>
      <c r="N256" s="46"/>
      <c r="O256" s="46"/>
      <c r="P256" s="46"/>
      <c r="Q256" s="46"/>
      <c r="R256" s="46"/>
      <c r="S256" s="46"/>
      <c r="T256" s="46"/>
      <c r="U256" s="46"/>
    </row>
    <row r="257" spans="1:21">
      <c r="A257" s="46"/>
      <c r="B257" s="46"/>
      <c r="C257" s="46"/>
      <c r="D257" s="46"/>
      <c r="E257" s="46"/>
      <c r="F257" s="46"/>
      <c r="G257" s="46"/>
      <c r="H257" s="46"/>
      <c r="I257" s="46"/>
      <c r="J257" s="46"/>
      <c r="K257" s="46"/>
      <c r="L257" s="46"/>
      <c r="M257" s="46"/>
      <c r="N257" s="46"/>
      <c r="O257" s="46"/>
      <c r="P257" s="46"/>
      <c r="Q257" s="46"/>
      <c r="R257" s="46"/>
      <c r="S257" s="46"/>
      <c r="T257" s="46"/>
      <c r="U257" s="46"/>
    </row>
    <row r="258" spans="1:21">
      <c r="A258" s="46"/>
      <c r="B258" s="46"/>
      <c r="C258" s="46"/>
      <c r="D258" s="46"/>
      <c r="E258" s="46"/>
      <c r="F258" s="46"/>
      <c r="G258" s="46"/>
      <c r="H258" s="46"/>
      <c r="I258" s="46"/>
      <c r="J258" s="46"/>
      <c r="K258" s="46"/>
      <c r="L258" s="46"/>
      <c r="M258" s="46"/>
      <c r="N258" s="46"/>
      <c r="O258" s="46"/>
      <c r="P258" s="46"/>
      <c r="Q258" s="46"/>
      <c r="R258" s="46"/>
      <c r="S258" s="46"/>
      <c r="T258" s="46"/>
      <c r="U258" s="46"/>
    </row>
    <row r="259" spans="1:21">
      <c r="A259" s="46"/>
      <c r="B259" s="46"/>
      <c r="C259" s="46"/>
      <c r="D259" s="46"/>
      <c r="E259" s="46"/>
      <c r="F259" s="46"/>
      <c r="G259" s="46"/>
      <c r="H259" s="46"/>
      <c r="I259" s="46"/>
      <c r="J259" s="46"/>
      <c r="K259" s="46"/>
      <c r="L259" s="46"/>
      <c r="M259" s="46"/>
      <c r="N259" s="46"/>
      <c r="O259" s="46"/>
      <c r="P259" s="46"/>
      <c r="Q259" s="46"/>
      <c r="R259" s="46"/>
      <c r="S259" s="46"/>
      <c r="T259" s="46"/>
      <c r="U259" s="46"/>
    </row>
    <row r="260" spans="1:21">
      <c r="A260" s="46"/>
      <c r="B260" s="46"/>
      <c r="C260" s="46"/>
      <c r="D260" s="46"/>
      <c r="E260" s="46"/>
      <c r="F260" s="46"/>
      <c r="G260" s="46"/>
      <c r="H260" s="46"/>
      <c r="I260" s="46"/>
      <c r="J260" s="46"/>
      <c r="K260" s="46"/>
      <c r="L260" s="46"/>
      <c r="M260" s="46"/>
      <c r="N260" s="46"/>
      <c r="O260" s="46"/>
      <c r="P260" s="46"/>
      <c r="Q260" s="46"/>
      <c r="R260" s="46"/>
      <c r="S260" s="46"/>
      <c r="T260" s="46"/>
      <c r="U260" s="46"/>
    </row>
    <row r="261" spans="1:21">
      <c r="A261" s="46"/>
      <c r="B261" s="46"/>
      <c r="C261" s="46"/>
      <c r="D261" s="46"/>
      <c r="E261" s="46"/>
      <c r="F261" s="46"/>
      <c r="G261" s="46"/>
      <c r="H261" s="46"/>
      <c r="I261" s="46"/>
      <c r="J261" s="46"/>
      <c r="K261" s="46"/>
      <c r="L261" s="46"/>
      <c r="M261" s="46"/>
      <c r="N261" s="46"/>
      <c r="O261" s="46"/>
      <c r="P261" s="46"/>
      <c r="Q261" s="46"/>
      <c r="R261" s="46"/>
      <c r="S261" s="46"/>
      <c r="T261" s="46"/>
      <c r="U261" s="46"/>
    </row>
    <row r="262" spans="1:21">
      <c r="A262" s="46"/>
      <c r="B262" s="46"/>
      <c r="C262" s="46"/>
      <c r="D262" s="46"/>
      <c r="E262" s="46"/>
      <c r="F262" s="46"/>
      <c r="G262" s="46"/>
      <c r="H262" s="46"/>
      <c r="I262" s="46"/>
      <c r="J262" s="46"/>
      <c r="K262" s="46"/>
      <c r="L262" s="46"/>
      <c r="M262" s="46"/>
      <c r="N262" s="46"/>
      <c r="O262" s="46"/>
      <c r="P262" s="46"/>
      <c r="Q262" s="46"/>
      <c r="R262" s="46"/>
      <c r="S262" s="46"/>
      <c r="T262" s="46"/>
      <c r="U262" s="46"/>
    </row>
    <row r="263" spans="1:21">
      <c r="A263" s="46"/>
      <c r="B263" s="46"/>
      <c r="C263" s="46"/>
      <c r="D263" s="46"/>
      <c r="E263" s="46"/>
      <c r="F263" s="46"/>
      <c r="G263" s="46"/>
      <c r="H263" s="46"/>
      <c r="I263" s="46"/>
      <c r="J263" s="46"/>
      <c r="K263" s="46"/>
      <c r="L263" s="46"/>
      <c r="M263" s="46"/>
      <c r="N263" s="46"/>
      <c r="O263" s="46"/>
      <c r="P263" s="46"/>
      <c r="Q263" s="46"/>
      <c r="R263" s="46"/>
      <c r="S263" s="46"/>
      <c r="T263" s="46"/>
      <c r="U263" s="46"/>
    </row>
    <row r="264" spans="1:21">
      <c r="A264" s="46"/>
      <c r="B264" s="46"/>
      <c r="C264" s="46"/>
      <c r="D264" s="46"/>
      <c r="E264" s="46"/>
      <c r="F264" s="46"/>
      <c r="G264" s="46"/>
      <c r="H264" s="46"/>
      <c r="I264" s="46"/>
      <c r="J264" s="46"/>
      <c r="K264" s="46"/>
      <c r="L264" s="46"/>
      <c r="M264" s="46"/>
      <c r="N264" s="46"/>
      <c r="O264" s="46"/>
      <c r="P264" s="46"/>
      <c r="Q264" s="46"/>
      <c r="R264" s="46"/>
      <c r="S264" s="46"/>
      <c r="T264" s="46"/>
      <c r="U264" s="46"/>
    </row>
    <row r="265" spans="1:21">
      <c r="A265" s="46"/>
      <c r="B265" s="46"/>
      <c r="C265" s="46"/>
      <c r="D265" s="46"/>
      <c r="E265" s="46"/>
      <c r="F265" s="46"/>
      <c r="G265" s="46"/>
      <c r="H265" s="46"/>
      <c r="I265" s="46"/>
      <c r="J265" s="46"/>
      <c r="K265" s="46"/>
      <c r="L265" s="46"/>
      <c r="M265" s="46"/>
      <c r="N265" s="46"/>
      <c r="O265" s="46"/>
      <c r="P265" s="46"/>
      <c r="Q265" s="46"/>
      <c r="R265" s="46"/>
      <c r="S265" s="46"/>
      <c r="T265" s="46"/>
      <c r="U265" s="46"/>
    </row>
    <row r="266" spans="1:21">
      <c r="A266" s="46"/>
      <c r="B266" s="46"/>
      <c r="C266" s="46"/>
      <c r="D266" s="46"/>
      <c r="E266" s="46"/>
      <c r="F266" s="46"/>
      <c r="G266" s="46"/>
      <c r="H266" s="46"/>
      <c r="I266" s="46"/>
      <c r="J266" s="46"/>
      <c r="K266" s="46"/>
      <c r="L266" s="46"/>
      <c r="M266" s="46"/>
      <c r="N266" s="46"/>
      <c r="O266" s="46"/>
      <c r="P266" s="46"/>
      <c r="Q266" s="46"/>
      <c r="R266" s="46"/>
      <c r="S266" s="46"/>
      <c r="T266" s="46"/>
      <c r="U266" s="46"/>
    </row>
    <row r="267" spans="1:21">
      <c r="A267" s="46"/>
      <c r="B267" s="46"/>
      <c r="C267" s="46"/>
      <c r="D267" s="46"/>
      <c r="E267" s="46"/>
      <c r="F267" s="46"/>
      <c r="G267" s="46"/>
      <c r="H267" s="46"/>
      <c r="I267" s="46"/>
      <c r="J267" s="46"/>
      <c r="K267" s="46"/>
      <c r="L267" s="46"/>
      <c r="M267" s="46"/>
      <c r="N267" s="46"/>
      <c r="O267" s="46"/>
      <c r="P267" s="46"/>
      <c r="Q267" s="46"/>
      <c r="R267" s="46"/>
      <c r="S267" s="46"/>
      <c r="T267" s="46"/>
      <c r="U267" s="46"/>
    </row>
    <row r="268" spans="1:21">
      <c r="A268" s="46"/>
      <c r="B268" s="46"/>
      <c r="C268" s="46"/>
      <c r="D268" s="46"/>
      <c r="E268" s="46"/>
      <c r="F268" s="46"/>
      <c r="G268" s="46"/>
      <c r="H268" s="46"/>
      <c r="I268" s="46"/>
      <c r="J268" s="46"/>
      <c r="K268" s="46"/>
      <c r="L268" s="46"/>
      <c r="M268" s="46"/>
      <c r="N268" s="46"/>
      <c r="O268" s="46"/>
      <c r="P268" s="46"/>
      <c r="Q268" s="46"/>
      <c r="R268" s="46"/>
      <c r="S268" s="46"/>
      <c r="T268" s="46"/>
      <c r="U268" s="46"/>
    </row>
    <row r="269" spans="1:21">
      <c r="A269" s="46"/>
      <c r="B269" s="46"/>
      <c r="C269" s="46"/>
      <c r="D269" s="46"/>
      <c r="E269" s="46"/>
      <c r="F269" s="46"/>
      <c r="G269" s="46"/>
      <c r="H269" s="46"/>
      <c r="I269" s="46"/>
      <c r="J269" s="46"/>
      <c r="K269" s="46"/>
      <c r="L269" s="46"/>
      <c r="M269" s="46"/>
      <c r="N269" s="46"/>
      <c r="O269" s="46"/>
      <c r="P269" s="46"/>
      <c r="Q269" s="46"/>
      <c r="R269" s="46"/>
      <c r="S269" s="46"/>
      <c r="T269" s="46"/>
      <c r="U269" s="46"/>
    </row>
    <row r="270" spans="1:21">
      <c r="A270" s="46"/>
      <c r="B270" s="46"/>
      <c r="C270" s="46"/>
      <c r="D270" s="46"/>
      <c r="E270" s="46"/>
      <c r="F270" s="46"/>
      <c r="G270" s="46"/>
      <c r="H270" s="46"/>
      <c r="I270" s="46"/>
      <c r="J270" s="46"/>
      <c r="K270" s="46"/>
      <c r="L270" s="46"/>
      <c r="M270" s="46"/>
      <c r="N270" s="46"/>
      <c r="O270" s="46"/>
      <c r="P270" s="46"/>
      <c r="Q270" s="46"/>
      <c r="R270" s="46"/>
      <c r="S270" s="46"/>
      <c r="T270" s="46"/>
      <c r="U270" s="46"/>
    </row>
    <row r="271" spans="1:21">
      <c r="A271" s="46"/>
      <c r="B271" s="46"/>
      <c r="C271" s="46"/>
      <c r="D271" s="46"/>
      <c r="E271" s="46"/>
      <c r="F271" s="46"/>
      <c r="G271" s="46"/>
      <c r="H271" s="46"/>
      <c r="I271" s="46"/>
      <c r="J271" s="46"/>
      <c r="K271" s="46"/>
      <c r="L271" s="46"/>
      <c r="M271" s="46"/>
      <c r="N271" s="46"/>
      <c r="O271" s="46"/>
      <c r="P271" s="46"/>
      <c r="Q271" s="46"/>
      <c r="R271" s="46"/>
      <c r="S271" s="46"/>
      <c r="T271" s="46"/>
      <c r="U271" s="46"/>
    </row>
    <row r="272" spans="1:21">
      <c r="A272" s="46"/>
      <c r="B272" s="46"/>
      <c r="C272" s="46"/>
      <c r="D272" s="46"/>
      <c r="E272" s="46"/>
      <c r="F272" s="46"/>
      <c r="G272" s="46"/>
      <c r="H272" s="46"/>
      <c r="I272" s="46"/>
      <c r="J272" s="46"/>
      <c r="K272" s="46"/>
      <c r="L272" s="46"/>
      <c r="M272" s="46"/>
      <c r="N272" s="46"/>
      <c r="O272" s="46"/>
      <c r="P272" s="46"/>
      <c r="Q272" s="46"/>
      <c r="R272" s="46"/>
      <c r="S272" s="46"/>
      <c r="T272" s="46"/>
      <c r="U272" s="46"/>
    </row>
    <row r="273" spans="1:21">
      <c r="A273" s="46"/>
      <c r="B273" s="46"/>
      <c r="C273" s="46"/>
      <c r="D273" s="46"/>
      <c r="E273" s="46"/>
      <c r="F273" s="46"/>
      <c r="G273" s="46"/>
      <c r="H273" s="46"/>
      <c r="I273" s="46"/>
      <c r="J273" s="46"/>
      <c r="K273" s="46"/>
      <c r="L273" s="46"/>
      <c r="M273" s="46"/>
      <c r="N273" s="46"/>
      <c r="O273" s="46"/>
      <c r="P273" s="46"/>
      <c r="Q273" s="46"/>
      <c r="R273" s="46"/>
      <c r="S273" s="46"/>
      <c r="T273" s="46"/>
      <c r="U273" s="46"/>
    </row>
    <row r="274" spans="1:21">
      <c r="A274" s="46"/>
      <c r="B274" s="46"/>
      <c r="C274" s="46"/>
      <c r="D274" s="46"/>
      <c r="E274" s="46"/>
      <c r="F274" s="46"/>
      <c r="G274" s="46"/>
      <c r="H274" s="46"/>
      <c r="I274" s="46"/>
      <c r="J274" s="46"/>
      <c r="K274" s="46"/>
      <c r="L274" s="46"/>
      <c r="M274" s="46"/>
      <c r="N274" s="46"/>
      <c r="O274" s="46"/>
      <c r="P274" s="46"/>
      <c r="Q274" s="46"/>
      <c r="R274" s="46"/>
      <c r="S274" s="46"/>
      <c r="T274" s="46"/>
      <c r="U274" s="46"/>
    </row>
    <row r="275" spans="1:21">
      <c r="A275" s="46"/>
      <c r="B275" s="46"/>
      <c r="C275" s="46"/>
      <c r="D275" s="46"/>
      <c r="E275" s="46"/>
      <c r="F275" s="46"/>
      <c r="G275" s="46"/>
      <c r="H275" s="46"/>
      <c r="I275" s="46"/>
      <c r="J275" s="46"/>
      <c r="K275" s="46"/>
      <c r="L275" s="46"/>
      <c r="M275" s="46"/>
      <c r="N275" s="46"/>
      <c r="O275" s="46"/>
      <c r="P275" s="46"/>
      <c r="Q275" s="46"/>
      <c r="R275" s="46"/>
      <c r="S275" s="46"/>
      <c r="T275" s="46"/>
      <c r="U275" s="46"/>
    </row>
    <row r="276" spans="1:21">
      <c r="A276" s="46"/>
      <c r="B276" s="46"/>
      <c r="C276" s="46"/>
      <c r="D276" s="46"/>
      <c r="E276" s="46"/>
      <c r="F276" s="46"/>
      <c r="G276" s="46"/>
      <c r="H276" s="46"/>
      <c r="I276" s="46"/>
      <c r="J276" s="46"/>
      <c r="K276" s="46"/>
      <c r="L276" s="46"/>
      <c r="M276" s="46"/>
      <c r="N276" s="46"/>
      <c r="O276" s="46"/>
      <c r="P276" s="46"/>
      <c r="Q276" s="46"/>
      <c r="R276" s="46"/>
      <c r="S276" s="46"/>
      <c r="T276" s="46"/>
      <c r="U276" s="46"/>
    </row>
    <row r="277" spans="1:21">
      <c r="A277" s="46"/>
      <c r="B277" s="46"/>
      <c r="C277" s="46"/>
      <c r="D277" s="46"/>
      <c r="E277" s="46"/>
      <c r="F277" s="46"/>
      <c r="G277" s="46"/>
      <c r="H277" s="46"/>
      <c r="I277" s="46"/>
      <c r="J277" s="46"/>
      <c r="K277" s="46"/>
      <c r="L277" s="46"/>
      <c r="M277" s="46"/>
      <c r="N277" s="46"/>
      <c r="O277" s="46"/>
      <c r="P277" s="46"/>
      <c r="Q277" s="46"/>
      <c r="R277" s="46"/>
      <c r="S277" s="46"/>
      <c r="T277" s="46"/>
      <c r="U277" s="46"/>
    </row>
    <row r="278" spans="1:21">
      <c r="A278" s="46"/>
      <c r="B278" s="46"/>
      <c r="C278" s="46"/>
      <c r="D278" s="46"/>
      <c r="E278" s="46"/>
      <c r="F278" s="46"/>
      <c r="G278" s="46"/>
      <c r="H278" s="46"/>
      <c r="I278" s="46"/>
      <c r="J278" s="46"/>
      <c r="K278" s="46"/>
      <c r="L278" s="46"/>
      <c r="M278" s="46"/>
      <c r="N278" s="46"/>
      <c r="O278" s="46"/>
      <c r="P278" s="46"/>
      <c r="Q278" s="46"/>
      <c r="R278" s="46"/>
      <c r="S278" s="46"/>
      <c r="T278" s="46"/>
      <c r="U278" s="46"/>
    </row>
    <row r="279" spans="1:21">
      <c r="A279" s="46"/>
      <c r="B279" s="46"/>
      <c r="C279" s="46"/>
      <c r="D279" s="46"/>
      <c r="E279" s="46"/>
      <c r="F279" s="46"/>
      <c r="G279" s="46"/>
      <c r="H279" s="46"/>
      <c r="I279" s="46"/>
      <c r="J279" s="46"/>
      <c r="K279" s="46"/>
      <c r="L279" s="46"/>
      <c r="M279" s="46"/>
      <c r="N279" s="46"/>
      <c r="O279" s="46"/>
      <c r="P279" s="46"/>
      <c r="Q279" s="46"/>
      <c r="R279" s="46"/>
      <c r="S279" s="46"/>
      <c r="T279" s="46"/>
      <c r="U279" s="46"/>
    </row>
    <row r="280" spans="1:21">
      <c r="A280" s="46"/>
      <c r="B280" s="46"/>
      <c r="C280" s="46"/>
      <c r="D280" s="46"/>
      <c r="E280" s="46"/>
      <c r="F280" s="46"/>
      <c r="G280" s="46"/>
      <c r="H280" s="46"/>
      <c r="I280" s="46"/>
      <c r="J280" s="46"/>
      <c r="K280" s="46"/>
      <c r="L280" s="46"/>
      <c r="M280" s="46"/>
      <c r="N280" s="46"/>
      <c r="O280" s="46"/>
      <c r="P280" s="46"/>
      <c r="Q280" s="46"/>
      <c r="R280" s="46"/>
      <c r="S280" s="46"/>
      <c r="T280" s="46"/>
      <c r="U280" s="46"/>
    </row>
    <row r="281" spans="1:21">
      <c r="A281" s="46"/>
      <c r="B281" s="46"/>
      <c r="C281" s="46"/>
      <c r="D281" s="46"/>
      <c r="E281" s="46"/>
      <c r="F281" s="46"/>
      <c r="G281" s="46"/>
      <c r="H281" s="46"/>
      <c r="I281" s="46"/>
      <c r="J281" s="46"/>
      <c r="K281" s="46"/>
      <c r="L281" s="46"/>
      <c r="M281" s="46"/>
      <c r="N281" s="46"/>
      <c r="O281" s="46"/>
      <c r="P281" s="46"/>
      <c r="Q281" s="46"/>
      <c r="R281" s="46"/>
      <c r="S281" s="46"/>
      <c r="T281" s="46"/>
      <c r="U281" s="46"/>
    </row>
    <row r="282" spans="1:21">
      <c r="A282" s="46"/>
      <c r="B282" s="46"/>
      <c r="C282" s="46"/>
      <c r="D282" s="46"/>
      <c r="E282" s="46"/>
      <c r="F282" s="46"/>
      <c r="G282" s="46"/>
      <c r="H282" s="46"/>
      <c r="I282" s="46"/>
      <c r="J282" s="46"/>
      <c r="K282" s="46"/>
      <c r="L282" s="46"/>
      <c r="M282" s="46"/>
      <c r="N282" s="46"/>
      <c r="O282" s="46"/>
      <c r="P282" s="46"/>
      <c r="Q282" s="46"/>
      <c r="R282" s="46"/>
      <c r="S282" s="46"/>
      <c r="T282" s="46"/>
      <c r="U282" s="46"/>
    </row>
    <row r="283" spans="1:21">
      <c r="A283" s="46"/>
      <c r="B283" s="46"/>
      <c r="C283" s="46"/>
      <c r="D283" s="46"/>
      <c r="E283" s="46"/>
      <c r="F283" s="46"/>
      <c r="G283" s="46"/>
      <c r="H283" s="46"/>
      <c r="I283" s="46"/>
      <c r="J283" s="46"/>
      <c r="K283" s="46"/>
      <c r="L283" s="46"/>
      <c r="M283" s="46"/>
      <c r="N283" s="46"/>
      <c r="O283" s="46"/>
      <c r="P283" s="46"/>
      <c r="Q283" s="46"/>
      <c r="R283" s="46"/>
      <c r="S283" s="46"/>
      <c r="T283" s="46"/>
      <c r="U283" s="46"/>
    </row>
    <row r="284" spans="1:21">
      <c r="A284" s="46"/>
      <c r="B284" s="46"/>
      <c r="C284" s="46"/>
      <c r="D284" s="46"/>
      <c r="E284" s="46"/>
      <c r="F284" s="46"/>
      <c r="G284" s="46"/>
      <c r="H284" s="46"/>
      <c r="I284" s="46"/>
      <c r="J284" s="46"/>
      <c r="K284" s="46"/>
      <c r="L284" s="46"/>
      <c r="M284" s="46"/>
      <c r="N284" s="46"/>
      <c r="O284" s="46"/>
      <c r="P284" s="46"/>
      <c r="Q284" s="46"/>
      <c r="R284" s="46"/>
      <c r="S284" s="46"/>
      <c r="T284" s="46"/>
      <c r="U284" s="46"/>
    </row>
    <row r="285" spans="1:21">
      <c r="A285" s="46"/>
      <c r="B285" s="46"/>
      <c r="C285" s="46"/>
      <c r="D285" s="46"/>
      <c r="E285" s="46"/>
      <c r="F285" s="46"/>
      <c r="G285" s="46"/>
      <c r="H285" s="46"/>
      <c r="I285" s="46"/>
      <c r="J285" s="46"/>
      <c r="K285" s="46"/>
      <c r="L285" s="46"/>
      <c r="M285" s="46"/>
      <c r="N285" s="46"/>
      <c r="O285" s="46"/>
      <c r="P285" s="46"/>
      <c r="Q285" s="46"/>
      <c r="R285" s="46"/>
      <c r="S285" s="46"/>
      <c r="T285" s="46"/>
      <c r="U285" s="46"/>
    </row>
    <row r="286" spans="1:21">
      <c r="A286" s="46"/>
      <c r="B286" s="46"/>
      <c r="C286" s="46"/>
      <c r="D286" s="46"/>
      <c r="E286" s="46"/>
      <c r="F286" s="46"/>
      <c r="G286" s="46"/>
      <c r="H286" s="46"/>
      <c r="I286" s="46"/>
      <c r="J286" s="46"/>
      <c r="K286" s="46"/>
      <c r="L286" s="46"/>
      <c r="M286" s="46"/>
      <c r="N286" s="46"/>
      <c r="O286" s="46"/>
      <c r="P286" s="46"/>
      <c r="Q286" s="46"/>
      <c r="R286" s="46"/>
      <c r="S286" s="46"/>
      <c r="T286" s="46"/>
      <c r="U286" s="46"/>
    </row>
    <row r="287" spans="1:21">
      <c r="A287" s="46"/>
      <c r="B287" s="46"/>
      <c r="C287" s="46"/>
      <c r="D287" s="46"/>
      <c r="E287" s="46"/>
      <c r="F287" s="46"/>
      <c r="G287" s="46"/>
      <c r="H287" s="46"/>
      <c r="I287" s="46"/>
      <c r="J287" s="46"/>
      <c r="K287" s="46"/>
      <c r="L287" s="46"/>
      <c r="M287" s="46"/>
      <c r="N287" s="46"/>
      <c r="O287" s="46"/>
      <c r="P287" s="46"/>
      <c r="Q287" s="46"/>
      <c r="R287" s="46"/>
      <c r="S287" s="46"/>
      <c r="T287" s="46"/>
      <c r="U287" s="46"/>
    </row>
    <row r="288" spans="1:21">
      <c r="A288" s="46"/>
      <c r="B288" s="46"/>
      <c r="C288" s="46"/>
      <c r="D288" s="46"/>
      <c r="E288" s="46"/>
      <c r="F288" s="46"/>
      <c r="G288" s="46"/>
      <c r="H288" s="46"/>
      <c r="I288" s="46"/>
      <c r="J288" s="46"/>
      <c r="K288" s="46"/>
      <c r="L288" s="46"/>
      <c r="M288" s="46"/>
      <c r="N288" s="46"/>
      <c r="O288" s="46"/>
      <c r="P288" s="46"/>
      <c r="Q288" s="46"/>
      <c r="R288" s="46"/>
      <c r="S288" s="46"/>
      <c r="T288" s="46"/>
      <c r="U288" s="46"/>
    </row>
    <row r="289" spans="1:21">
      <c r="A289" s="46"/>
      <c r="B289" s="46"/>
      <c r="C289" s="46"/>
      <c r="D289" s="46"/>
      <c r="E289" s="46"/>
      <c r="F289" s="46"/>
      <c r="G289" s="46"/>
      <c r="H289" s="46"/>
      <c r="I289" s="46"/>
      <c r="J289" s="46"/>
      <c r="K289" s="46"/>
      <c r="L289" s="46"/>
      <c r="M289" s="46"/>
      <c r="N289" s="46"/>
      <c r="O289" s="46"/>
      <c r="P289" s="46"/>
      <c r="Q289" s="46"/>
      <c r="R289" s="46"/>
      <c r="S289" s="46"/>
      <c r="T289" s="46"/>
      <c r="U289" s="46"/>
    </row>
    <row r="290" spans="1:21">
      <c r="A290" s="46"/>
      <c r="B290" s="46"/>
      <c r="C290" s="46"/>
      <c r="D290" s="46"/>
      <c r="E290" s="46"/>
      <c r="F290" s="46"/>
      <c r="G290" s="46"/>
      <c r="H290" s="46"/>
      <c r="I290" s="46"/>
      <c r="J290" s="46"/>
      <c r="K290" s="46"/>
      <c r="L290" s="46"/>
      <c r="M290" s="46"/>
      <c r="N290" s="46"/>
      <c r="O290" s="46"/>
      <c r="P290" s="46"/>
      <c r="Q290" s="46"/>
      <c r="R290" s="46"/>
      <c r="S290" s="46"/>
      <c r="T290" s="46"/>
      <c r="U290" s="46"/>
    </row>
    <row r="291" spans="1:21">
      <c r="A291" s="46"/>
      <c r="B291" s="46"/>
      <c r="C291" s="46"/>
      <c r="D291" s="46"/>
      <c r="E291" s="46"/>
      <c r="F291" s="46"/>
      <c r="G291" s="46"/>
      <c r="H291" s="46"/>
      <c r="I291" s="46"/>
      <c r="J291" s="46"/>
      <c r="K291" s="46"/>
      <c r="L291" s="46"/>
      <c r="M291" s="46"/>
      <c r="N291" s="46"/>
      <c r="O291" s="46"/>
      <c r="P291" s="46"/>
      <c r="Q291" s="46"/>
      <c r="R291" s="46"/>
      <c r="S291" s="46"/>
      <c r="T291" s="46"/>
      <c r="U291" s="46"/>
    </row>
    <row r="292" spans="1:21">
      <c r="A292" s="46"/>
      <c r="B292" s="46"/>
      <c r="C292" s="46"/>
      <c r="D292" s="46"/>
      <c r="E292" s="46"/>
      <c r="F292" s="46"/>
      <c r="G292" s="46"/>
      <c r="H292" s="46"/>
      <c r="I292" s="46"/>
      <c r="J292" s="46"/>
      <c r="K292" s="46"/>
      <c r="L292" s="46"/>
      <c r="M292" s="46"/>
      <c r="N292" s="46"/>
      <c r="O292" s="46"/>
      <c r="P292" s="46"/>
      <c r="Q292" s="46"/>
      <c r="R292" s="46"/>
      <c r="S292" s="46"/>
      <c r="T292" s="46"/>
      <c r="U292" s="46"/>
    </row>
    <row r="293" spans="1:21">
      <c r="A293" s="46"/>
      <c r="B293" s="46"/>
      <c r="C293" s="46"/>
      <c r="D293" s="46"/>
      <c r="E293" s="46"/>
      <c r="F293" s="46"/>
      <c r="G293" s="46"/>
      <c r="H293" s="46"/>
      <c r="I293" s="46"/>
      <c r="J293" s="46"/>
      <c r="K293" s="46"/>
      <c r="L293" s="46"/>
      <c r="M293" s="46"/>
      <c r="N293" s="46"/>
      <c r="O293" s="46"/>
      <c r="P293" s="46"/>
      <c r="Q293" s="46"/>
      <c r="R293" s="46"/>
      <c r="S293" s="46"/>
      <c r="T293" s="46"/>
      <c r="U293" s="46"/>
    </row>
    <row r="294" spans="1:21">
      <c r="A294" s="46"/>
      <c r="B294" s="46"/>
      <c r="C294" s="46"/>
      <c r="D294" s="46"/>
      <c r="E294" s="46"/>
      <c r="F294" s="46"/>
      <c r="G294" s="46"/>
      <c r="H294" s="46"/>
      <c r="I294" s="46"/>
      <c r="J294" s="46"/>
      <c r="K294" s="46"/>
      <c r="L294" s="46"/>
      <c r="M294" s="46"/>
      <c r="N294" s="46"/>
      <c r="O294" s="46"/>
      <c r="P294" s="46"/>
      <c r="Q294" s="46"/>
      <c r="R294" s="46"/>
      <c r="S294" s="46"/>
      <c r="T294" s="46"/>
      <c r="U294" s="46"/>
    </row>
    <row r="295" spans="1:21">
      <c r="A295" s="46"/>
      <c r="B295" s="46"/>
      <c r="C295" s="46"/>
      <c r="D295" s="46"/>
      <c r="E295" s="46"/>
      <c r="F295" s="46"/>
      <c r="G295" s="46"/>
      <c r="H295" s="46"/>
      <c r="I295" s="46"/>
      <c r="J295" s="46"/>
      <c r="K295" s="46"/>
      <c r="L295" s="46"/>
      <c r="M295" s="46"/>
      <c r="N295" s="46"/>
      <c r="O295" s="46"/>
      <c r="P295" s="46"/>
      <c r="Q295" s="46"/>
      <c r="R295" s="46"/>
      <c r="S295" s="46"/>
      <c r="T295" s="46"/>
      <c r="U295" s="46"/>
    </row>
    <row r="296" spans="1:21">
      <c r="A296" s="46"/>
      <c r="B296" s="46"/>
      <c r="C296" s="46"/>
      <c r="D296" s="46"/>
      <c r="E296" s="46"/>
      <c r="F296" s="46"/>
      <c r="G296" s="46"/>
      <c r="H296" s="46"/>
      <c r="I296" s="46"/>
      <c r="J296" s="46"/>
      <c r="K296" s="46"/>
      <c r="L296" s="46"/>
      <c r="M296" s="46"/>
      <c r="N296" s="46"/>
      <c r="O296" s="46"/>
      <c r="P296" s="46"/>
      <c r="Q296" s="46"/>
      <c r="R296" s="46"/>
      <c r="S296" s="46"/>
      <c r="T296" s="46"/>
      <c r="U296" s="46"/>
    </row>
    <row r="297" spans="1:21">
      <c r="A297" s="46"/>
      <c r="B297" s="46"/>
      <c r="C297" s="46"/>
      <c r="D297" s="46"/>
      <c r="E297" s="46"/>
      <c r="F297" s="46"/>
      <c r="G297" s="46"/>
      <c r="H297" s="46"/>
      <c r="I297" s="46"/>
      <c r="J297" s="46"/>
      <c r="K297" s="46"/>
      <c r="L297" s="46"/>
      <c r="M297" s="46"/>
      <c r="N297" s="46"/>
      <c r="O297" s="46"/>
      <c r="P297" s="46"/>
      <c r="Q297" s="46"/>
      <c r="R297" s="46"/>
      <c r="S297" s="46"/>
      <c r="T297" s="46"/>
      <c r="U297" s="46"/>
    </row>
    <row r="298" spans="1:21">
      <c r="A298" s="46"/>
      <c r="B298" s="46"/>
      <c r="C298" s="46"/>
      <c r="D298" s="46"/>
      <c r="E298" s="46"/>
      <c r="F298" s="46"/>
      <c r="G298" s="46"/>
      <c r="H298" s="46"/>
      <c r="I298" s="46"/>
      <c r="J298" s="46"/>
      <c r="K298" s="46"/>
      <c r="L298" s="46"/>
      <c r="M298" s="46"/>
      <c r="N298" s="46"/>
      <c r="O298" s="46"/>
      <c r="P298" s="46"/>
      <c r="Q298" s="46"/>
      <c r="R298" s="46"/>
      <c r="S298" s="46"/>
      <c r="T298" s="46"/>
      <c r="U298" s="46"/>
    </row>
    <row r="299" spans="1:21">
      <c r="A299" s="46"/>
      <c r="B299" s="46"/>
      <c r="C299" s="46"/>
      <c r="D299" s="46"/>
      <c r="E299" s="46"/>
      <c r="F299" s="46"/>
      <c r="G299" s="46"/>
      <c r="H299" s="46"/>
      <c r="I299" s="46"/>
      <c r="J299" s="46"/>
      <c r="K299" s="46"/>
      <c r="L299" s="46"/>
      <c r="M299" s="46"/>
      <c r="N299" s="46"/>
      <c r="O299" s="46"/>
      <c r="P299" s="46"/>
      <c r="Q299" s="46"/>
      <c r="R299" s="46"/>
      <c r="S299" s="46"/>
      <c r="T299" s="46"/>
      <c r="U299" s="46"/>
    </row>
    <row r="300" spans="1:21">
      <c r="A300" s="46"/>
      <c r="B300" s="46"/>
      <c r="C300" s="46"/>
      <c r="D300" s="46"/>
      <c r="E300" s="46"/>
      <c r="F300" s="46"/>
      <c r="G300" s="46"/>
      <c r="H300" s="46"/>
      <c r="I300" s="46"/>
      <c r="J300" s="46"/>
      <c r="K300" s="46"/>
      <c r="L300" s="46"/>
      <c r="M300" s="46"/>
      <c r="N300" s="46"/>
      <c r="O300" s="46"/>
      <c r="P300" s="46"/>
      <c r="Q300" s="46"/>
      <c r="R300" s="46"/>
      <c r="S300" s="46"/>
      <c r="T300" s="46"/>
      <c r="U300" s="46"/>
    </row>
    <row r="301" spans="1:21">
      <c r="A301" s="46"/>
      <c r="B301" s="46"/>
      <c r="C301" s="46"/>
      <c r="D301" s="46"/>
      <c r="E301" s="46"/>
      <c r="F301" s="46"/>
      <c r="G301" s="46"/>
      <c r="H301" s="46"/>
      <c r="I301" s="46"/>
      <c r="J301" s="46"/>
      <c r="K301" s="46"/>
      <c r="L301" s="46"/>
      <c r="M301" s="46"/>
      <c r="N301" s="46"/>
      <c r="O301" s="46"/>
      <c r="P301" s="46"/>
      <c r="Q301" s="46"/>
      <c r="R301" s="46"/>
      <c r="S301" s="46"/>
      <c r="T301" s="46"/>
      <c r="U301" s="46"/>
    </row>
    <row r="302" spans="1:21">
      <c r="A302" s="46"/>
      <c r="B302" s="46"/>
      <c r="C302" s="46"/>
      <c r="D302" s="46"/>
      <c r="E302" s="46"/>
      <c r="F302" s="46"/>
      <c r="G302" s="46"/>
      <c r="H302" s="46"/>
      <c r="I302" s="46"/>
      <c r="J302" s="46"/>
      <c r="K302" s="46"/>
      <c r="L302" s="46"/>
      <c r="M302" s="46"/>
      <c r="N302" s="46"/>
      <c r="O302" s="46"/>
      <c r="P302" s="46"/>
      <c r="Q302" s="46"/>
      <c r="R302" s="46"/>
      <c r="S302" s="46"/>
      <c r="T302" s="46"/>
      <c r="U302" s="46"/>
    </row>
    <row r="303" spans="1:21">
      <c r="A303" s="46"/>
      <c r="B303" s="46"/>
      <c r="C303" s="46"/>
      <c r="D303" s="46"/>
      <c r="E303" s="46"/>
      <c r="F303" s="46"/>
      <c r="G303" s="46"/>
      <c r="H303" s="46"/>
      <c r="I303" s="46"/>
      <c r="J303" s="46"/>
      <c r="K303" s="46"/>
      <c r="L303" s="46"/>
      <c r="M303" s="46"/>
      <c r="N303" s="46"/>
      <c r="O303" s="46"/>
      <c r="P303" s="46"/>
      <c r="Q303" s="46"/>
      <c r="R303" s="46"/>
      <c r="S303" s="46"/>
      <c r="T303" s="46"/>
      <c r="U303" s="46"/>
    </row>
    <row r="304" spans="1:21">
      <c r="A304" s="46"/>
      <c r="B304" s="46"/>
      <c r="C304" s="46"/>
      <c r="D304" s="46"/>
      <c r="E304" s="46"/>
      <c r="F304" s="46"/>
      <c r="G304" s="46"/>
      <c r="H304" s="46"/>
      <c r="I304" s="46"/>
      <c r="J304" s="46"/>
      <c r="K304" s="46"/>
      <c r="L304" s="46"/>
      <c r="M304" s="46"/>
      <c r="N304" s="46"/>
      <c r="O304" s="46"/>
      <c r="P304" s="46"/>
      <c r="Q304" s="46"/>
      <c r="R304" s="46"/>
      <c r="S304" s="46"/>
      <c r="T304" s="46"/>
      <c r="U304" s="46"/>
    </row>
    <row r="305" spans="1:21">
      <c r="A305" s="46"/>
      <c r="B305" s="46"/>
      <c r="C305" s="46"/>
      <c r="D305" s="46"/>
      <c r="E305" s="46"/>
      <c r="F305" s="46"/>
      <c r="G305" s="46"/>
      <c r="H305" s="46"/>
      <c r="I305" s="46"/>
      <c r="J305" s="46"/>
      <c r="K305" s="46"/>
      <c r="L305" s="46"/>
      <c r="M305" s="46"/>
      <c r="N305" s="46"/>
      <c r="O305" s="46"/>
      <c r="P305" s="46"/>
      <c r="Q305" s="46"/>
      <c r="R305" s="46"/>
      <c r="S305" s="46"/>
      <c r="T305" s="46"/>
      <c r="U305" s="46"/>
    </row>
    <row r="306" spans="1:21">
      <c r="A306" s="46"/>
      <c r="B306" s="46"/>
      <c r="C306" s="46"/>
      <c r="D306" s="46"/>
      <c r="E306" s="46"/>
      <c r="F306" s="46"/>
      <c r="G306" s="46"/>
      <c r="H306" s="46"/>
      <c r="I306" s="46"/>
      <c r="J306" s="46"/>
      <c r="K306" s="46"/>
      <c r="L306" s="46"/>
      <c r="M306" s="46"/>
      <c r="N306" s="46"/>
      <c r="O306" s="46"/>
      <c r="P306" s="46"/>
      <c r="Q306" s="46"/>
      <c r="R306" s="46"/>
      <c r="S306" s="46"/>
      <c r="T306" s="46"/>
      <c r="U306" s="46"/>
    </row>
    <row r="307" spans="1:21">
      <c r="A307" s="46"/>
      <c r="B307" s="46"/>
      <c r="C307" s="46"/>
      <c r="D307" s="46"/>
      <c r="E307" s="46"/>
      <c r="F307" s="46"/>
      <c r="G307" s="46"/>
      <c r="H307" s="46"/>
      <c r="I307" s="46"/>
      <c r="J307" s="46"/>
      <c r="K307" s="46"/>
      <c r="L307" s="46"/>
      <c r="M307" s="46"/>
      <c r="N307" s="46"/>
      <c r="O307" s="46"/>
      <c r="P307" s="46"/>
      <c r="Q307" s="46"/>
      <c r="R307" s="46"/>
      <c r="S307" s="46"/>
      <c r="T307" s="46"/>
      <c r="U307" s="46"/>
    </row>
    <row r="308" spans="1:21">
      <c r="A308" s="46"/>
      <c r="B308" s="46"/>
      <c r="C308" s="46"/>
      <c r="D308" s="46"/>
      <c r="E308" s="46"/>
      <c r="F308" s="46"/>
      <c r="G308" s="46"/>
      <c r="H308" s="46"/>
      <c r="I308" s="46"/>
      <c r="J308" s="46"/>
      <c r="K308" s="46"/>
      <c r="L308" s="46"/>
      <c r="M308" s="46"/>
      <c r="N308" s="46"/>
      <c r="O308" s="46"/>
      <c r="P308" s="46"/>
      <c r="Q308" s="46"/>
      <c r="R308" s="46"/>
      <c r="S308" s="46"/>
      <c r="T308" s="46"/>
      <c r="U308" s="46"/>
    </row>
    <row r="309" spans="1:21">
      <c r="A309" s="46"/>
      <c r="B309" s="46"/>
      <c r="C309" s="46"/>
      <c r="D309" s="46"/>
      <c r="E309" s="46"/>
      <c r="F309" s="46"/>
      <c r="G309" s="46"/>
      <c r="H309" s="46"/>
      <c r="I309" s="46"/>
      <c r="J309" s="46"/>
      <c r="K309" s="46"/>
      <c r="L309" s="46"/>
      <c r="M309" s="46"/>
      <c r="N309" s="46"/>
      <c r="O309" s="46"/>
      <c r="P309" s="46"/>
      <c r="Q309" s="46"/>
      <c r="R309" s="46"/>
      <c r="S309" s="46"/>
      <c r="T309" s="46"/>
      <c r="U309" s="46"/>
    </row>
    <row r="310" spans="1:21">
      <c r="A310" s="46"/>
      <c r="B310" s="46"/>
      <c r="C310" s="46"/>
      <c r="D310" s="46"/>
      <c r="E310" s="46"/>
      <c r="F310" s="46"/>
      <c r="G310" s="46"/>
      <c r="H310" s="46"/>
      <c r="I310" s="46"/>
      <c r="J310" s="46"/>
      <c r="K310" s="46"/>
      <c r="L310" s="46"/>
      <c r="M310" s="46"/>
      <c r="N310" s="46"/>
      <c r="O310" s="46"/>
      <c r="P310" s="46"/>
      <c r="Q310" s="46"/>
      <c r="R310" s="46"/>
      <c r="S310" s="46"/>
      <c r="T310" s="46"/>
      <c r="U310" s="46"/>
    </row>
    <row r="311" spans="1:21">
      <c r="A311" s="46"/>
      <c r="B311" s="46"/>
      <c r="C311" s="46"/>
      <c r="D311" s="46"/>
      <c r="E311" s="46"/>
      <c r="F311" s="46"/>
      <c r="G311" s="46"/>
      <c r="H311" s="46"/>
      <c r="I311" s="46"/>
      <c r="J311" s="46"/>
      <c r="K311" s="46"/>
      <c r="L311" s="46"/>
      <c r="M311" s="46"/>
      <c r="N311" s="46"/>
      <c r="O311" s="46"/>
      <c r="P311" s="46"/>
      <c r="Q311" s="46"/>
      <c r="R311" s="46"/>
      <c r="S311" s="46"/>
      <c r="T311" s="46"/>
      <c r="U311" s="46"/>
    </row>
    <row r="312" spans="1:21">
      <c r="A312" s="46"/>
      <c r="B312" s="46"/>
      <c r="C312" s="46"/>
      <c r="D312" s="46"/>
      <c r="E312" s="46"/>
      <c r="F312" s="46"/>
      <c r="G312" s="46"/>
      <c r="H312" s="46"/>
      <c r="I312" s="46"/>
      <c r="J312" s="46"/>
      <c r="K312" s="46"/>
      <c r="L312" s="46"/>
      <c r="M312" s="46"/>
      <c r="N312" s="46"/>
      <c r="O312" s="46"/>
      <c r="P312" s="46"/>
      <c r="Q312" s="46"/>
      <c r="R312" s="46"/>
      <c r="S312" s="46"/>
      <c r="T312" s="46"/>
      <c r="U312" s="46"/>
    </row>
    <row r="313" spans="1:21">
      <c r="A313" s="46"/>
      <c r="B313" s="46"/>
      <c r="C313" s="46"/>
      <c r="D313" s="46"/>
      <c r="E313" s="46"/>
      <c r="F313" s="46"/>
      <c r="G313" s="46"/>
      <c r="H313" s="46"/>
      <c r="I313" s="46"/>
      <c r="J313" s="46"/>
      <c r="K313" s="46"/>
      <c r="L313" s="46"/>
      <c r="M313" s="46"/>
      <c r="N313" s="46"/>
      <c r="O313" s="46"/>
      <c r="P313" s="46"/>
      <c r="Q313" s="46"/>
      <c r="R313" s="46"/>
      <c r="S313" s="46"/>
      <c r="T313" s="46"/>
      <c r="U313" s="46"/>
    </row>
    <row r="314" spans="1:21">
      <c r="A314" s="46"/>
      <c r="B314" s="46"/>
      <c r="C314" s="46"/>
      <c r="D314" s="46"/>
      <c r="E314" s="46"/>
      <c r="F314" s="46"/>
      <c r="G314" s="46"/>
      <c r="H314" s="46"/>
      <c r="I314" s="46"/>
      <c r="J314" s="46"/>
      <c r="K314" s="46"/>
      <c r="L314" s="46"/>
      <c r="M314" s="46"/>
      <c r="N314" s="46"/>
      <c r="O314" s="46"/>
      <c r="P314" s="46"/>
      <c r="Q314" s="46"/>
      <c r="R314" s="46"/>
      <c r="S314" s="46"/>
      <c r="T314" s="46"/>
      <c r="U314" s="46"/>
    </row>
    <row r="315" spans="1:21">
      <c r="A315" s="46"/>
      <c r="B315" s="46"/>
      <c r="C315" s="46"/>
      <c r="D315" s="46"/>
      <c r="E315" s="46"/>
      <c r="F315" s="46"/>
      <c r="G315" s="46"/>
      <c r="H315" s="46"/>
      <c r="I315" s="46"/>
      <c r="J315" s="46"/>
      <c r="K315" s="46"/>
      <c r="L315" s="46"/>
      <c r="M315" s="46"/>
      <c r="N315" s="46"/>
      <c r="O315" s="46"/>
      <c r="P315" s="46"/>
      <c r="Q315" s="46"/>
      <c r="R315" s="46"/>
      <c r="S315" s="46"/>
      <c r="T315" s="46"/>
      <c r="U315" s="46"/>
    </row>
    <row r="316" spans="1:21">
      <c r="A316" s="46"/>
      <c r="B316" s="46"/>
      <c r="C316" s="46"/>
      <c r="D316" s="46"/>
      <c r="E316" s="46"/>
      <c r="F316" s="46"/>
      <c r="G316" s="46"/>
      <c r="H316" s="46"/>
      <c r="I316" s="46"/>
      <c r="J316" s="46"/>
      <c r="K316" s="46"/>
      <c r="L316" s="46"/>
      <c r="M316" s="46"/>
      <c r="N316" s="46"/>
      <c r="O316" s="46"/>
      <c r="P316" s="46"/>
      <c r="Q316" s="46"/>
      <c r="R316" s="46"/>
      <c r="S316" s="46"/>
      <c r="T316" s="46"/>
      <c r="U316" s="46"/>
    </row>
    <row r="317" spans="1:21">
      <c r="A317" s="46"/>
      <c r="B317" s="46"/>
      <c r="C317" s="46"/>
      <c r="D317" s="46"/>
      <c r="E317" s="46"/>
      <c r="F317" s="46"/>
      <c r="G317" s="46"/>
      <c r="H317" s="46"/>
      <c r="I317" s="46"/>
      <c r="J317" s="46"/>
      <c r="K317" s="46"/>
      <c r="L317" s="46"/>
      <c r="M317" s="46"/>
      <c r="N317" s="46"/>
      <c r="O317" s="46"/>
      <c r="P317" s="46"/>
      <c r="Q317" s="46"/>
      <c r="R317" s="46"/>
      <c r="S317" s="46"/>
      <c r="T317" s="46"/>
      <c r="U317" s="46"/>
    </row>
    <row r="318" spans="1:21">
      <c r="A318" s="46"/>
      <c r="B318" s="46"/>
      <c r="C318" s="46"/>
      <c r="D318" s="46"/>
      <c r="E318" s="46"/>
      <c r="F318" s="46"/>
      <c r="G318" s="46"/>
      <c r="H318" s="46"/>
      <c r="I318" s="46"/>
      <c r="J318" s="46"/>
      <c r="K318" s="46"/>
      <c r="L318" s="46"/>
      <c r="M318" s="46"/>
      <c r="N318" s="46"/>
      <c r="O318" s="46"/>
      <c r="P318" s="46"/>
      <c r="Q318" s="46"/>
      <c r="R318" s="46"/>
      <c r="S318" s="46"/>
      <c r="T318" s="46"/>
      <c r="U318" s="46"/>
    </row>
    <row r="319" spans="1:21">
      <c r="A319" s="46"/>
      <c r="B319" s="46"/>
      <c r="C319" s="46"/>
      <c r="D319" s="46"/>
      <c r="E319" s="46"/>
      <c r="F319" s="46"/>
      <c r="G319" s="46"/>
      <c r="H319" s="46"/>
      <c r="I319" s="46"/>
      <c r="J319" s="46"/>
      <c r="K319" s="46"/>
      <c r="L319" s="46"/>
      <c r="M319" s="46"/>
      <c r="N319" s="46"/>
      <c r="O319" s="46"/>
      <c r="P319" s="46"/>
      <c r="Q319" s="46"/>
      <c r="R319" s="46"/>
      <c r="S319" s="46"/>
      <c r="T319" s="46"/>
      <c r="U319" s="46"/>
    </row>
    <row r="320" spans="1:21">
      <c r="A320" s="46"/>
      <c r="B320" s="46"/>
      <c r="C320" s="46"/>
      <c r="D320" s="46"/>
      <c r="E320" s="46"/>
      <c r="F320" s="46"/>
      <c r="G320" s="46"/>
      <c r="H320" s="46"/>
      <c r="I320" s="46"/>
      <c r="J320" s="46"/>
      <c r="K320" s="46"/>
      <c r="L320" s="46"/>
      <c r="M320" s="46"/>
      <c r="N320" s="46"/>
      <c r="O320" s="46"/>
      <c r="P320" s="46"/>
      <c r="Q320" s="46"/>
      <c r="R320" s="46"/>
      <c r="S320" s="46"/>
      <c r="T320" s="46"/>
      <c r="U320" s="46"/>
    </row>
    <row r="321" spans="1:21">
      <c r="A321" s="46"/>
      <c r="B321" s="46"/>
      <c r="C321" s="46"/>
      <c r="D321" s="46"/>
      <c r="E321" s="46"/>
      <c r="F321" s="46"/>
      <c r="G321" s="46"/>
      <c r="H321" s="46"/>
      <c r="I321" s="46"/>
      <c r="J321" s="46"/>
      <c r="K321" s="46"/>
      <c r="L321" s="46"/>
      <c r="M321" s="46"/>
      <c r="N321" s="46"/>
      <c r="O321" s="46"/>
      <c r="P321" s="46"/>
      <c r="Q321" s="46"/>
      <c r="R321" s="46"/>
      <c r="S321" s="46"/>
      <c r="T321" s="46"/>
      <c r="U321" s="46"/>
    </row>
    <row r="322" spans="1:21">
      <c r="A322" s="46"/>
      <c r="B322" s="46"/>
      <c r="C322" s="46"/>
      <c r="D322" s="46"/>
      <c r="E322" s="46"/>
      <c r="F322" s="46"/>
      <c r="G322" s="46"/>
      <c r="H322" s="46"/>
      <c r="I322" s="46"/>
      <c r="J322" s="46"/>
      <c r="K322" s="46"/>
      <c r="L322" s="46"/>
      <c r="M322" s="46"/>
      <c r="N322" s="46"/>
      <c r="O322" s="46"/>
      <c r="P322" s="46"/>
      <c r="Q322" s="46"/>
      <c r="R322" s="46"/>
      <c r="S322" s="46"/>
      <c r="T322" s="46"/>
      <c r="U322" s="46"/>
    </row>
    <row r="323" spans="1:21">
      <c r="A323" s="46"/>
      <c r="B323" s="46"/>
      <c r="C323" s="46"/>
      <c r="D323" s="46"/>
      <c r="E323" s="46"/>
      <c r="F323" s="46"/>
      <c r="G323" s="46"/>
      <c r="H323" s="46"/>
      <c r="I323" s="46"/>
      <c r="J323" s="46"/>
      <c r="K323" s="46"/>
      <c r="L323" s="46"/>
      <c r="M323" s="46"/>
      <c r="N323" s="46"/>
      <c r="O323" s="46"/>
      <c r="P323" s="46"/>
      <c r="Q323" s="46"/>
      <c r="R323" s="46"/>
      <c r="S323" s="46"/>
      <c r="T323" s="46"/>
      <c r="U323" s="46"/>
    </row>
    <row r="324" spans="1:21">
      <c r="A324" s="46"/>
      <c r="B324" s="46"/>
      <c r="C324" s="46"/>
      <c r="D324" s="46"/>
      <c r="E324" s="46"/>
      <c r="F324" s="46"/>
      <c r="G324" s="46"/>
      <c r="H324" s="46"/>
      <c r="I324" s="46"/>
      <c r="J324" s="46"/>
      <c r="K324" s="46"/>
      <c r="L324" s="46"/>
      <c r="M324" s="46"/>
      <c r="N324" s="46"/>
      <c r="O324" s="46"/>
      <c r="P324" s="46"/>
      <c r="Q324" s="46"/>
      <c r="R324" s="46"/>
      <c r="S324" s="46"/>
      <c r="T324" s="46"/>
      <c r="U324" s="46"/>
    </row>
    <row r="325" spans="1:21">
      <c r="A325" s="46"/>
      <c r="B325" s="46"/>
      <c r="C325" s="46"/>
      <c r="D325" s="46"/>
      <c r="E325" s="46"/>
      <c r="F325" s="46"/>
      <c r="G325" s="46"/>
      <c r="H325" s="46"/>
      <c r="I325" s="46"/>
      <c r="J325" s="46"/>
      <c r="K325" s="46"/>
      <c r="L325" s="46"/>
      <c r="M325" s="46"/>
      <c r="N325" s="46"/>
      <c r="O325" s="46"/>
      <c r="P325" s="46"/>
      <c r="Q325" s="46"/>
      <c r="R325" s="46"/>
      <c r="S325" s="46"/>
      <c r="T325" s="46"/>
      <c r="U325" s="46"/>
    </row>
    <row r="326" spans="1:21">
      <c r="A326" s="46"/>
      <c r="B326" s="46"/>
      <c r="C326" s="46"/>
      <c r="D326" s="46"/>
      <c r="E326" s="46"/>
      <c r="F326" s="46"/>
      <c r="G326" s="46"/>
      <c r="H326" s="46"/>
      <c r="I326" s="46"/>
      <c r="J326" s="46"/>
      <c r="K326" s="46"/>
      <c r="L326" s="46"/>
      <c r="M326" s="46"/>
      <c r="N326" s="46"/>
      <c r="O326" s="46"/>
      <c r="P326" s="46"/>
      <c r="Q326" s="46"/>
      <c r="R326" s="46"/>
      <c r="S326" s="46"/>
      <c r="T326" s="46"/>
      <c r="U326" s="46"/>
    </row>
    <row r="327" spans="1:21">
      <c r="A327" s="46"/>
      <c r="B327" s="46"/>
      <c r="C327" s="46"/>
      <c r="D327" s="46"/>
      <c r="E327" s="46"/>
      <c r="F327" s="46"/>
      <c r="G327" s="46"/>
      <c r="H327" s="46"/>
      <c r="I327" s="46"/>
      <c r="J327" s="46"/>
      <c r="K327" s="46"/>
      <c r="L327" s="46"/>
      <c r="M327" s="46"/>
      <c r="N327" s="46"/>
      <c r="O327" s="46"/>
      <c r="P327" s="46"/>
      <c r="Q327" s="46"/>
      <c r="R327" s="46"/>
      <c r="S327" s="46"/>
      <c r="T327" s="46"/>
      <c r="U327" s="46"/>
    </row>
    <row r="328" spans="1:21">
      <c r="A328" s="46"/>
      <c r="B328" s="46"/>
      <c r="C328" s="46"/>
      <c r="D328" s="46"/>
      <c r="E328" s="46"/>
      <c r="F328" s="46"/>
      <c r="G328" s="46"/>
      <c r="H328" s="46"/>
      <c r="I328" s="46"/>
      <c r="J328" s="46"/>
      <c r="K328" s="46"/>
      <c r="L328" s="46"/>
      <c r="M328" s="46"/>
      <c r="N328" s="46"/>
      <c r="O328" s="46"/>
      <c r="P328" s="46"/>
      <c r="Q328" s="46"/>
      <c r="R328" s="46"/>
      <c r="S328" s="46"/>
      <c r="T328" s="46"/>
      <c r="U328" s="46"/>
    </row>
    <row r="329" spans="1:21">
      <c r="A329" s="46"/>
      <c r="B329" s="46"/>
      <c r="C329" s="46"/>
      <c r="D329" s="46"/>
      <c r="E329" s="46"/>
      <c r="F329" s="46"/>
      <c r="G329" s="46"/>
      <c r="H329" s="46"/>
      <c r="I329" s="46"/>
      <c r="J329" s="46"/>
      <c r="K329" s="46"/>
      <c r="L329" s="46"/>
      <c r="M329" s="46"/>
      <c r="N329" s="46"/>
      <c r="O329" s="46"/>
      <c r="P329" s="46"/>
      <c r="Q329" s="46"/>
      <c r="R329" s="46"/>
      <c r="S329" s="46"/>
      <c r="T329" s="46"/>
      <c r="U329" s="46"/>
    </row>
    <row r="330" spans="1:21">
      <c r="A330" s="46"/>
      <c r="B330" s="46"/>
      <c r="C330" s="46"/>
      <c r="D330" s="46"/>
      <c r="E330" s="46"/>
      <c r="F330" s="46"/>
      <c r="G330" s="46"/>
      <c r="H330" s="46"/>
      <c r="I330" s="46"/>
      <c r="J330" s="46"/>
      <c r="K330" s="46"/>
      <c r="L330" s="46"/>
      <c r="M330" s="46"/>
      <c r="N330" s="46"/>
      <c r="O330" s="46"/>
      <c r="P330" s="46"/>
      <c r="Q330" s="46"/>
      <c r="R330" s="46"/>
      <c r="S330" s="46"/>
      <c r="T330" s="46"/>
      <c r="U330" s="46"/>
    </row>
    <row r="331" spans="1:21">
      <c r="A331" s="46"/>
      <c r="B331" s="46"/>
      <c r="C331" s="46"/>
      <c r="D331" s="46"/>
      <c r="E331" s="46"/>
      <c r="F331" s="46"/>
      <c r="G331" s="46"/>
      <c r="H331" s="46"/>
      <c r="I331" s="46"/>
      <c r="J331" s="46"/>
      <c r="K331" s="46"/>
      <c r="L331" s="46"/>
      <c r="M331" s="46"/>
      <c r="N331" s="46"/>
      <c r="O331" s="46"/>
      <c r="P331" s="46"/>
      <c r="Q331" s="46"/>
      <c r="R331" s="46"/>
      <c r="S331" s="46"/>
      <c r="T331" s="46"/>
      <c r="U331" s="46"/>
    </row>
    <row r="332" spans="1:21">
      <c r="A332" s="46"/>
      <c r="B332" s="46"/>
      <c r="C332" s="46"/>
      <c r="D332" s="46"/>
      <c r="E332" s="46"/>
      <c r="F332" s="46"/>
      <c r="G332" s="46"/>
      <c r="H332" s="46"/>
      <c r="I332" s="46"/>
      <c r="J332" s="46"/>
      <c r="K332" s="46"/>
      <c r="L332" s="46"/>
      <c r="M332" s="46"/>
      <c r="N332" s="46"/>
      <c r="O332" s="46"/>
      <c r="P332" s="46"/>
      <c r="Q332" s="46"/>
      <c r="R332" s="46"/>
      <c r="S332" s="46"/>
      <c r="T332" s="46"/>
      <c r="U332" s="46"/>
    </row>
    <row r="333" spans="1:21">
      <c r="A333" s="46"/>
      <c r="B333" s="46"/>
      <c r="C333" s="46"/>
      <c r="D333" s="46"/>
      <c r="E333" s="46"/>
      <c r="F333" s="46"/>
      <c r="G333" s="46"/>
      <c r="H333" s="46"/>
      <c r="I333" s="46"/>
      <c r="J333" s="46"/>
      <c r="K333" s="46"/>
      <c r="L333" s="46"/>
      <c r="M333" s="46"/>
      <c r="N333" s="46"/>
      <c r="O333" s="46"/>
      <c r="P333" s="46"/>
      <c r="Q333" s="46"/>
      <c r="R333" s="46"/>
      <c r="S333" s="46"/>
      <c r="T333" s="46"/>
      <c r="U333" s="46"/>
    </row>
    <row r="334" spans="1:21">
      <c r="A334" s="46"/>
      <c r="B334" s="46"/>
      <c r="C334" s="46"/>
      <c r="D334" s="46"/>
      <c r="E334" s="46"/>
      <c r="F334" s="46"/>
      <c r="G334" s="46"/>
      <c r="H334" s="46"/>
      <c r="I334" s="46"/>
      <c r="J334" s="46"/>
      <c r="K334" s="46"/>
      <c r="L334" s="46"/>
      <c r="M334" s="46"/>
      <c r="N334" s="46"/>
      <c r="O334" s="46"/>
      <c r="P334" s="46"/>
      <c r="Q334" s="46"/>
      <c r="R334" s="46"/>
      <c r="S334" s="46"/>
      <c r="T334" s="46"/>
      <c r="U334" s="46"/>
    </row>
    <row r="335" spans="1:21">
      <c r="A335" s="46"/>
      <c r="B335" s="46"/>
      <c r="C335" s="46"/>
      <c r="D335" s="46"/>
      <c r="E335" s="46"/>
      <c r="F335" s="46"/>
      <c r="G335" s="46"/>
      <c r="H335" s="46"/>
      <c r="I335" s="46"/>
      <c r="J335" s="46"/>
      <c r="K335" s="46"/>
      <c r="L335" s="46"/>
      <c r="M335" s="46"/>
      <c r="N335" s="46"/>
      <c r="O335" s="46"/>
      <c r="P335" s="46"/>
      <c r="Q335" s="46"/>
      <c r="R335" s="46"/>
      <c r="S335" s="46"/>
      <c r="T335" s="46"/>
      <c r="U335" s="46"/>
    </row>
    <row r="336" spans="1:21">
      <c r="A336" s="46"/>
      <c r="B336" s="46"/>
      <c r="C336" s="46"/>
      <c r="D336" s="46"/>
      <c r="E336" s="46"/>
      <c r="F336" s="46"/>
      <c r="G336" s="46"/>
      <c r="H336" s="46"/>
      <c r="I336" s="46"/>
      <c r="J336" s="46"/>
      <c r="K336" s="46"/>
      <c r="L336" s="46"/>
      <c r="M336" s="46"/>
      <c r="N336" s="46"/>
      <c r="O336" s="46"/>
      <c r="P336" s="46"/>
      <c r="Q336" s="46"/>
      <c r="R336" s="46"/>
      <c r="S336" s="46"/>
      <c r="T336" s="46"/>
      <c r="U336" s="46"/>
    </row>
    <row r="337" spans="1:21">
      <c r="A337" s="46"/>
      <c r="B337" s="46"/>
      <c r="C337" s="46"/>
      <c r="D337" s="46"/>
      <c r="E337" s="46"/>
      <c r="F337" s="46"/>
      <c r="G337" s="46"/>
      <c r="H337" s="46"/>
      <c r="I337" s="46"/>
      <c r="J337" s="46"/>
      <c r="K337" s="46"/>
      <c r="L337" s="46"/>
      <c r="M337" s="46"/>
      <c r="N337" s="46"/>
      <c r="O337" s="46"/>
      <c r="P337" s="46"/>
      <c r="Q337" s="46"/>
      <c r="R337" s="46"/>
      <c r="S337" s="46"/>
      <c r="T337" s="46"/>
      <c r="U337" s="46"/>
    </row>
    <row r="338" spans="1:21">
      <c r="A338" s="46"/>
      <c r="B338" s="46"/>
      <c r="C338" s="46"/>
      <c r="D338" s="46"/>
      <c r="E338" s="46"/>
      <c r="F338" s="46"/>
      <c r="G338" s="46"/>
      <c r="H338" s="46"/>
      <c r="I338" s="46"/>
      <c r="J338" s="46"/>
      <c r="K338" s="46"/>
      <c r="L338" s="46"/>
      <c r="M338" s="46"/>
      <c r="N338" s="46"/>
      <c r="O338" s="46"/>
      <c r="P338" s="46"/>
      <c r="Q338" s="46"/>
      <c r="R338" s="46"/>
      <c r="S338" s="46"/>
      <c r="T338" s="46"/>
      <c r="U338" s="46"/>
    </row>
    <row r="339" spans="1:21">
      <c r="A339" s="46"/>
      <c r="B339" s="46"/>
      <c r="C339" s="46"/>
      <c r="D339" s="46"/>
      <c r="E339" s="46"/>
      <c r="F339" s="46"/>
      <c r="G339" s="46"/>
      <c r="H339" s="46"/>
      <c r="I339" s="46"/>
      <c r="J339" s="46"/>
      <c r="K339" s="46"/>
      <c r="L339" s="46"/>
      <c r="M339" s="46"/>
      <c r="N339" s="46"/>
      <c r="O339" s="46"/>
      <c r="P339" s="46"/>
      <c r="Q339" s="46"/>
      <c r="R339" s="46"/>
      <c r="S339" s="46"/>
      <c r="T339" s="46"/>
      <c r="U339" s="46"/>
    </row>
    <row r="340" spans="1:21">
      <c r="A340" s="46"/>
      <c r="B340" s="46"/>
      <c r="C340" s="46"/>
      <c r="D340" s="46"/>
      <c r="E340" s="46"/>
      <c r="F340" s="46"/>
      <c r="G340" s="46"/>
      <c r="H340" s="46"/>
      <c r="I340" s="46"/>
      <c r="J340" s="46"/>
      <c r="K340" s="46"/>
      <c r="L340" s="46"/>
      <c r="M340" s="46"/>
      <c r="N340" s="46"/>
      <c r="O340" s="46"/>
      <c r="P340" s="46"/>
      <c r="Q340" s="46"/>
      <c r="R340" s="46"/>
      <c r="S340" s="46"/>
      <c r="T340" s="46"/>
      <c r="U340" s="46"/>
    </row>
    <row r="341" spans="1:21">
      <c r="A341" s="46"/>
      <c r="B341" s="46"/>
      <c r="C341" s="46"/>
      <c r="D341" s="46"/>
      <c r="E341" s="46"/>
      <c r="F341" s="46"/>
      <c r="G341" s="46"/>
      <c r="H341" s="46"/>
      <c r="I341" s="46"/>
      <c r="J341" s="46"/>
      <c r="K341" s="46"/>
      <c r="L341" s="46"/>
      <c r="M341" s="46"/>
      <c r="N341" s="46"/>
      <c r="O341" s="46"/>
      <c r="P341" s="46"/>
      <c r="Q341" s="46"/>
      <c r="R341" s="46"/>
      <c r="S341" s="46"/>
      <c r="T341" s="46"/>
      <c r="U341" s="46"/>
    </row>
    <row r="342" spans="1:21">
      <c r="A342" s="46"/>
      <c r="B342" s="46"/>
      <c r="C342" s="46"/>
      <c r="D342" s="46"/>
      <c r="E342" s="46"/>
      <c r="F342" s="46"/>
      <c r="G342" s="46"/>
      <c r="H342" s="46"/>
      <c r="I342" s="46"/>
      <c r="J342" s="46"/>
      <c r="K342" s="46"/>
      <c r="L342" s="46"/>
      <c r="M342" s="46"/>
      <c r="N342" s="46"/>
      <c r="O342" s="46"/>
      <c r="P342" s="46"/>
      <c r="Q342" s="46"/>
      <c r="R342" s="46"/>
      <c r="S342" s="46"/>
      <c r="T342" s="46"/>
      <c r="U342" s="46"/>
    </row>
    <row r="343" spans="1:21">
      <c r="B343" s="46"/>
      <c r="C343" s="46"/>
      <c r="D343" s="46"/>
      <c r="E343" s="46"/>
      <c r="F343" s="46"/>
      <c r="G343" s="46"/>
      <c r="H343" s="46"/>
      <c r="I343" s="46"/>
      <c r="J343" s="46"/>
      <c r="K343" s="46"/>
      <c r="L343" s="46"/>
      <c r="M343" s="46"/>
      <c r="N343" s="46"/>
      <c r="O343" s="46"/>
      <c r="P343" s="46"/>
      <c r="Q343" s="46"/>
      <c r="R343" s="46"/>
      <c r="S343" s="46"/>
      <c r="T343" s="46"/>
      <c r="U343" s="46"/>
    </row>
    <row r="344" spans="1:21">
      <c r="B344" s="46"/>
      <c r="C344" s="46"/>
      <c r="D344" s="46"/>
      <c r="E344" s="46"/>
      <c r="F344" s="46"/>
      <c r="G344" s="46"/>
      <c r="H344" s="46"/>
      <c r="I344" s="46"/>
      <c r="J344" s="46"/>
      <c r="K344" s="46"/>
      <c r="L344" s="46"/>
      <c r="M344" s="46"/>
      <c r="N344" s="46"/>
      <c r="O344" s="46"/>
      <c r="P344" s="46"/>
      <c r="Q344" s="46"/>
      <c r="R344" s="46"/>
      <c r="S344" s="46"/>
      <c r="T344" s="46"/>
      <c r="U344" s="46"/>
    </row>
    <row r="345" spans="1:21">
      <c r="B345" s="46"/>
      <c r="C345" s="46"/>
      <c r="D345" s="46"/>
      <c r="E345" s="46"/>
      <c r="F345" s="46"/>
      <c r="G345" s="46"/>
      <c r="H345" s="46"/>
      <c r="I345" s="46"/>
      <c r="J345" s="46"/>
      <c r="K345" s="46"/>
      <c r="L345" s="46"/>
      <c r="M345" s="46"/>
      <c r="N345" s="46"/>
      <c r="O345" s="46"/>
      <c r="P345" s="46"/>
      <c r="Q345" s="46"/>
      <c r="R345" s="46"/>
      <c r="S345" s="46"/>
      <c r="T345" s="46"/>
      <c r="U345" s="46"/>
    </row>
    <row r="346" spans="1:21">
      <c r="B346" s="46"/>
      <c r="C346" s="46"/>
      <c r="D346" s="46"/>
      <c r="E346" s="46"/>
      <c r="F346" s="46"/>
      <c r="G346" s="46"/>
      <c r="H346" s="46"/>
      <c r="I346" s="46"/>
      <c r="J346" s="46"/>
      <c r="K346" s="46"/>
      <c r="L346" s="46"/>
      <c r="M346" s="46"/>
      <c r="N346" s="46"/>
      <c r="O346" s="46"/>
      <c r="P346" s="46"/>
      <c r="Q346" s="46"/>
      <c r="R346" s="46"/>
      <c r="S346" s="46"/>
      <c r="T346" s="46"/>
      <c r="U346" s="46"/>
    </row>
    <row r="347" spans="1:21">
      <c r="B347" s="46"/>
      <c r="C347" s="46"/>
      <c r="D347" s="46"/>
      <c r="E347" s="46"/>
      <c r="F347" s="46"/>
      <c r="G347" s="46"/>
      <c r="H347" s="46"/>
      <c r="I347" s="46"/>
      <c r="J347" s="46"/>
      <c r="K347" s="46"/>
      <c r="L347" s="46"/>
      <c r="M347" s="46"/>
      <c r="N347" s="46"/>
      <c r="O347" s="46"/>
      <c r="P347" s="46"/>
      <c r="Q347" s="46"/>
      <c r="R347" s="46"/>
      <c r="S347" s="46"/>
      <c r="T347" s="46"/>
      <c r="U347" s="46"/>
    </row>
    <row r="348" spans="1:21">
      <c r="B348" s="46"/>
      <c r="C348" s="46"/>
      <c r="D348" s="46"/>
      <c r="E348" s="46"/>
      <c r="F348" s="46"/>
      <c r="G348" s="46"/>
      <c r="H348" s="46"/>
      <c r="I348" s="46"/>
      <c r="J348" s="46"/>
      <c r="K348" s="46"/>
      <c r="L348" s="46"/>
      <c r="M348" s="46"/>
      <c r="N348" s="46"/>
      <c r="O348" s="46"/>
      <c r="P348" s="46"/>
      <c r="Q348" s="46"/>
      <c r="R348" s="46"/>
      <c r="S348" s="46"/>
      <c r="T348" s="46"/>
      <c r="U348" s="46"/>
    </row>
    <row r="349" spans="1:21">
      <c r="B349" s="46"/>
      <c r="C349" s="46"/>
      <c r="D349" s="46"/>
      <c r="E349" s="46"/>
      <c r="F349" s="46"/>
      <c r="G349" s="46"/>
      <c r="H349" s="46"/>
      <c r="I349" s="46"/>
      <c r="J349" s="46"/>
      <c r="K349" s="46"/>
      <c r="L349" s="46"/>
      <c r="M349" s="46"/>
      <c r="N349" s="46"/>
      <c r="O349" s="46"/>
      <c r="P349" s="46"/>
      <c r="Q349" s="46"/>
      <c r="R349" s="46"/>
      <c r="S349" s="46"/>
      <c r="T349" s="46"/>
      <c r="U349" s="46"/>
    </row>
    <row r="350" spans="1:21">
      <c r="B350" s="46"/>
      <c r="C350" s="46"/>
      <c r="D350" s="46"/>
      <c r="E350" s="46"/>
      <c r="F350" s="46"/>
      <c r="G350" s="46"/>
      <c r="H350" s="46"/>
      <c r="I350" s="46"/>
      <c r="J350" s="46"/>
      <c r="K350" s="46"/>
      <c r="L350" s="46"/>
      <c r="M350" s="46"/>
      <c r="N350" s="46"/>
      <c r="O350" s="46"/>
      <c r="P350" s="46"/>
      <c r="Q350" s="46"/>
      <c r="R350" s="46"/>
      <c r="S350" s="46"/>
      <c r="T350" s="46"/>
      <c r="U350" s="46"/>
    </row>
    <row r="351" spans="1:21">
      <c r="B351" s="46"/>
      <c r="C351" s="46"/>
      <c r="D351" s="46"/>
      <c r="E351" s="46"/>
      <c r="F351" s="46"/>
      <c r="G351" s="46"/>
      <c r="H351" s="46"/>
      <c r="I351" s="46"/>
      <c r="J351" s="46"/>
      <c r="K351" s="46"/>
      <c r="L351" s="46"/>
      <c r="M351" s="46"/>
      <c r="N351" s="46"/>
      <c r="O351" s="46"/>
      <c r="P351" s="46"/>
      <c r="Q351" s="46"/>
      <c r="R351" s="46"/>
      <c r="S351" s="46"/>
      <c r="T351" s="46"/>
      <c r="U351" s="46"/>
    </row>
    <row r="352" spans="1:21">
      <c r="B352" s="46"/>
      <c r="C352" s="46"/>
      <c r="D352" s="46"/>
      <c r="E352" s="46"/>
      <c r="F352" s="46"/>
      <c r="G352" s="46"/>
      <c r="H352" s="46"/>
      <c r="I352" s="46"/>
      <c r="J352" s="46"/>
      <c r="K352" s="46"/>
      <c r="L352" s="46"/>
      <c r="M352" s="46"/>
      <c r="N352" s="46"/>
      <c r="O352" s="46"/>
      <c r="P352" s="46"/>
      <c r="Q352" s="46"/>
      <c r="R352" s="46"/>
      <c r="S352" s="46"/>
      <c r="T352" s="46"/>
      <c r="U352" s="46"/>
    </row>
    <row r="353" spans="2:21">
      <c r="B353" s="46"/>
      <c r="C353" s="46"/>
      <c r="D353" s="46"/>
      <c r="E353" s="46"/>
      <c r="F353" s="46"/>
      <c r="G353" s="46"/>
      <c r="H353" s="46"/>
      <c r="I353" s="46"/>
      <c r="J353" s="46"/>
      <c r="K353" s="46"/>
      <c r="L353" s="46"/>
      <c r="M353" s="46"/>
      <c r="N353" s="46"/>
      <c r="O353" s="46"/>
      <c r="P353" s="46"/>
      <c r="Q353" s="46"/>
      <c r="R353" s="46"/>
      <c r="S353" s="46"/>
      <c r="T353" s="46"/>
      <c r="U353" s="46"/>
    </row>
    <row r="354" spans="2:21">
      <c r="B354" s="46"/>
      <c r="C354" s="46"/>
      <c r="D354" s="46"/>
      <c r="E354" s="46"/>
      <c r="F354" s="46"/>
      <c r="G354" s="46"/>
      <c r="H354" s="46"/>
      <c r="I354" s="46"/>
      <c r="J354" s="46"/>
      <c r="K354" s="46"/>
      <c r="L354" s="46"/>
      <c r="M354" s="46"/>
      <c r="N354" s="46"/>
      <c r="O354" s="46"/>
      <c r="P354" s="46"/>
      <c r="Q354" s="46"/>
      <c r="R354" s="46"/>
      <c r="S354" s="46"/>
      <c r="T354" s="46"/>
      <c r="U354" s="46"/>
    </row>
    <row r="355" spans="2:21">
      <c r="B355" s="46"/>
      <c r="C355" s="46"/>
      <c r="D355" s="46"/>
      <c r="E355" s="46"/>
      <c r="F355" s="46"/>
      <c r="G355" s="46"/>
      <c r="H355" s="46"/>
      <c r="I355" s="46"/>
      <c r="J355" s="46"/>
      <c r="K355" s="46"/>
      <c r="L355" s="46"/>
      <c r="M355" s="46"/>
      <c r="N355" s="46"/>
      <c r="O355" s="46"/>
      <c r="P355" s="46"/>
      <c r="Q355" s="46"/>
      <c r="R355" s="46"/>
      <c r="S355" s="46"/>
      <c r="T355" s="46"/>
      <c r="U355" s="46"/>
    </row>
    <row r="356" spans="2:21">
      <c r="B356" s="46"/>
      <c r="C356" s="46"/>
      <c r="D356" s="46"/>
      <c r="E356" s="46"/>
      <c r="F356" s="46"/>
      <c r="G356" s="46"/>
      <c r="H356" s="46"/>
      <c r="I356" s="46"/>
      <c r="J356" s="46"/>
      <c r="K356" s="46"/>
      <c r="L356" s="46"/>
      <c r="M356" s="46"/>
      <c r="N356" s="46"/>
      <c r="O356" s="46"/>
      <c r="P356" s="46"/>
      <c r="Q356" s="46"/>
      <c r="R356" s="46"/>
      <c r="S356" s="46"/>
      <c r="T356" s="46"/>
      <c r="U356" s="46"/>
    </row>
    <row r="357" spans="2:21">
      <c r="B357" s="46"/>
      <c r="C357" s="46"/>
      <c r="D357" s="46"/>
      <c r="E357" s="46"/>
      <c r="F357" s="46"/>
      <c r="G357" s="46"/>
      <c r="H357" s="46"/>
      <c r="I357" s="46"/>
      <c r="J357" s="46"/>
      <c r="K357" s="46"/>
      <c r="L357" s="46"/>
      <c r="M357" s="46"/>
      <c r="N357" s="46"/>
      <c r="O357" s="46"/>
      <c r="P357" s="46"/>
      <c r="Q357" s="46"/>
      <c r="R357" s="46"/>
      <c r="S357" s="46"/>
      <c r="T357" s="46"/>
      <c r="U357" s="46"/>
    </row>
    <row r="358" spans="2:21">
      <c r="B358" s="46"/>
      <c r="C358" s="46"/>
      <c r="D358" s="46"/>
      <c r="E358" s="46"/>
      <c r="F358" s="46"/>
      <c r="G358" s="46"/>
      <c r="H358" s="46"/>
      <c r="I358" s="46"/>
      <c r="J358" s="46"/>
      <c r="K358" s="46"/>
      <c r="L358" s="46"/>
      <c r="M358" s="46"/>
      <c r="N358" s="46"/>
      <c r="O358" s="46"/>
      <c r="P358" s="46"/>
      <c r="Q358" s="46"/>
      <c r="R358" s="46"/>
      <c r="S358" s="46"/>
      <c r="T358" s="46"/>
      <c r="U358" s="46"/>
    </row>
    <row r="359" spans="2:21">
      <c r="B359" s="46"/>
      <c r="C359" s="46"/>
      <c r="D359" s="46"/>
      <c r="E359" s="46"/>
      <c r="F359" s="46"/>
      <c r="G359" s="46"/>
      <c r="H359" s="46"/>
      <c r="I359" s="46"/>
      <c r="J359" s="46"/>
      <c r="K359" s="46"/>
      <c r="L359" s="46"/>
      <c r="M359" s="46"/>
      <c r="N359" s="46"/>
      <c r="O359" s="46"/>
      <c r="P359" s="46"/>
      <c r="Q359" s="46"/>
      <c r="R359" s="46"/>
      <c r="S359" s="46"/>
      <c r="T359" s="46"/>
      <c r="U359" s="46"/>
    </row>
    <row r="360" spans="2:21">
      <c r="B360" s="46"/>
      <c r="C360" s="46"/>
      <c r="D360" s="46"/>
      <c r="E360" s="46"/>
      <c r="F360" s="46"/>
      <c r="G360" s="46"/>
      <c r="H360" s="46"/>
      <c r="I360" s="46"/>
      <c r="J360" s="46"/>
      <c r="K360" s="46"/>
      <c r="L360" s="46"/>
      <c r="M360" s="46"/>
      <c r="N360" s="46"/>
      <c r="O360" s="46"/>
      <c r="P360" s="46"/>
      <c r="Q360" s="46"/>
      <c r="R360" s="46"/>
      <c r="S360" s="46"/>
      <c r="T360" s="46"/>
      <c r="U360" s="46"/>
    </row>
    <row r="361" spans="2:21">
      <c r="B361" s="46"/>
      <c r="C361" s="46"/>
      <c r="D361" s="46"/>
      <c r="E361" s="46"/>
      <c r="F361" s="46"/>
      <c r="G361" s="46"/>
      <c r="H361" s="46"/>
      <c r="I361" s="46"/>
      <c r="J361" s="46"/>
      <c r="K361" s="46"/>
      <c r="L361" s="46"/>
      <c r="M361" s="46"/>
      <c r="N361" s="46"/>
      <c r="O361" s="46"/>
      <c r="P361" s="46"/>
      <c r="Q361" s="46"/>
      <c r="R361" s="46"/>
      <c r="S361" s="46"/>
      <c r="T361" s="46"/>
      <c r="U361" s="46"/>
    </row>
    <row r="362" spans="2:21">
      <c r="B362" s="46"/>
      <c r="C362" s="46"/>
      <c r="D362" s="46"/>
      <c r="E362" s="46"/>
      <c r="F362" s="46"/>
      <c r="G362" s="46"/>
      <c r="H362" s="46"/>
      <c r="I362" s="46"/>
      <c r="J362" s="46"/>
      <c r="K362" s="46"/>
      <c r="L362" s="46"/>
      <c r="M362" s="46"/>
      <c r="N362" s="46"/>
      <c r="O362" s="46"/>
      <c r="P362" s="46"/>
      <c r="Q362" s="46"/>
      <c r="R362" s="46"/>
      <c r="S362" s="46"/>
      <c r="T362" s="46"/>
      <c r="U362" s="46"/>
    </row>
    <row r="363" spans="2:21">
      <c r="B363" s="46"/>
      <c r="C363" s="46"/>
      <c r="D363" s="46"/>
      <c r="E363" s="46"/>
      <c r="F363" s="46"/>
      <c r="G363" s="46"/>
      <c r="H363" s="46"/>
      <c r="I363" s="46"/>
      <c r="J363" s="46"/>
      <c r="K363" s="46"/>
      <c r="L363" s="46"/>
      <c r="M363" s="46"/>
      <c r="N363" s="46"/>
      <c r="O363" s="46"/>
      <c r="P363" s="46"/>
      <c r="Q363" s="46"/>
      <c r="R363" s="46"/>
      <c r="S363" s="46"/>
      <c r="T363" s="46"/>
      <c r="U363" s="46"/>
    </row>
    <row r="364" spans="2:21">
      <c r="B364" s="46"/>
      <c r="C364" s="46"/>
      <c r="D364" s="46"/>
      <c r="E364" s="46"/>
      <c r="F364" s="46"/>
      <c r="G364" s="46"/>
      <c r="H364" s="46"/>
      <c r="I364" s="46"/>
      <c r="J364" s="46"/>
      <c r="K364" s="46"/>
      <c r="L364" s="46"/>
      <c r="M364" s="46"/>
      <c r="N364" s="46"/>
      <c r="O364" s="46"/>
      <c r="P364" s="46"/>
      <c r="Q364" s="46"/>
      <c r="R364" s="46"/>
      <c r="S364" s="46"/>
      <c r="T364" s="46"/>
      <c r="U364" s="46"/>
    </row>
    <row r="365" spans="2:21">
      <c r="B365" s="46"/>
      <c r="C365" s="46"/>
      <c r="D365" s="46"/>
      <c r="E365" s="46"/>
      <c r="F365" s="46"/>
      <c r="G365" s="46"/>
      <c r="H365" s="46"/>
      <c r="I365" s="46"/>
      <c r="J365" s="46"/>
      <c r="K365" s="46"/>
      <c r="L365" s="46"/>
      <c r="M365" s="46"/>
      <c r="N365" s="46"/>
      <c r="O365" s="46"/>
      <c r="P365" s="46"/>
      <c r="Q365" s="46"/>
      <c r="R365" s="46"/>
      <c r="S365" s="46"/>
      <c r="T365" s="46"/>
      <c r="U365" s="46"/>
    </row>
    <row r="366" spans="2:21">
      <c r="B366" s="46"/>
      <c r="C366" s="46"/>
      <c r="D366" s="46"/>
      <c r="E366" s="46"/>
      <c r="F366" s="46"/>
      <c r="G366" s="46"/>
      <c r="H366" s="46"/>
      <c r="I366" s="46"/>
      <c r="J366" s="46"/>
      <c r="K366" s="46"/>
      <c r="L366" s="46"/>
      <c r="M366" s="46"/>
      <c r="N366" s="46"/>
      <c r="O366" s="46"/>
      <c r="P366" s="46"/>
      <c r="Q366" s="46"/>
      <c r="R366" s="46"/>
      <c r="S366" s="46"/>
      <c r="T366" s="46"/>
      <c r="U366" s="46"/>
    </row>
    <row r="367" spans="2:21">
      <c r="B367" s="46"/>
      <c r="C367" s="46"/>
      <c r="D367" s="46"/>
      <c r="E367" s="46"/>
      <c r="F367" s="46"/>
      <c r="G367" s="46"/>
      <c r="H367" s="46"/>
      <c r="I367" s="46"/>
      <c r="J367" s="46"/>
      <c r="K367" s="46"/>
      <c r="L367" s="46"/>
      <c r="M367" s="46"/>
      <c r="N367" s="46"/>
      <c r="O367" s="46"/>
      <c r="P367" s="46"/>
      <c r="Q367" s="46"/>
      <c r="R367" s="46"/>
      <c r="S367" s="46"/>
      <c r="T367" s="46"/>
      <c r="U367" s="46"/>
    </row>
    <row r="368" spans="2:21">
      <c r="B368" s="46"/>
      <c r="C368" s="46"/>
      <c r="D368" s="46"/>
      <c r="E368" s="46"/>
      <c r="F368" s="46"/>
      <c r="G368" s="46"/>
      <c r="H368" s="46"/>
      <c r="I368" s="46"/>
      <c r="J368" s="46"/>
      <c r="K368" s="46"/>
      <c r="L368" s="46"/>
      <c r="M368" s="46"/>
      <c r="N368" s="46"/>
      <c r="O368" s="46"/>
      <c r="P368" s="46"/>
      <c r="Q368" s="46"/>
      <c r="R368" s="46"/>
      <c r="S368" s="46"/>
      <c r="T368" s="46"/>
      <c r="U368" s="46"/>
    </row>
    <row r="369" spans="2:21">
      <c r="B369" s="46"/>
      <c r="C369" s="46"/>
      <c r="D369" s="46"/>
      <c r="E369" s="46"/>
      <c r="F369" s="46"/>
      <c r="G369" s="46"/>
      <c r="H369" s="46"/>
      <c r="I369" s="46"/>
      <c r="J369" s="46"/>
      <c r="K369" s="46"/>
      <c r="L369" s="46"/>
      <c r="M369" s="46"/>
      <c r="N369" s="46"/>
      <c r="O369" s="46"/>
      <c r="P369" s="46"/>
      <c r="Q369" s="46"/>
      <c r="R369" s="46"/>
      <c r="S369" s="46"/>
      <c r="T369" s="46"/>
      <c r="U369" s="46"/>
    </row>
    <row r="370" spans="2:21">
      <c r="B370" s="46"/>
      <c r="C370" s="46"/>
      <c r="D370" s="46"/>
      <c r="E370" s="46"/>
      <c r="F370" s="46"/>
      <c r="G370" s="46"/>
      <c r="H370" s="46"/>
      <c r="I370" s="46"/>
      <c r="J370" s="46"/>
      <c r="K370" s="46"/>
      <c r="L370" s="46"/>
      <c r="M370" s="46"/>
      <c r="N370" s="46"/>
      <c r="O370" s="46"/>
      <c r="P370" s="46"/>
      <c r="Q370" s="46"/>
      <c r="R370" s="46"/>
      <c r="S370" s="46"/>
      <c r="T370" s="46"/>
      <c r="U370" s="46"/>
    </row>
    <row r="371" spans="2:21">
      <c r="B371" s="46"/>
      <c r="C371" s="46"/>
      <c r="D371" s="46"/>
      <c r="E371" s="46"/>
      <c r="F371" s="46"/>
      <c r="G371" s="46"/>
      <c r="H371" s="46"/>
      <c r="I371" s="46"/>
      <c r="J371" s="46"/>
      <c r="K371" s="46"/>
      <c r="L371" s="46"/>
      <c r="M371" s="46"/>
      <c r="N371" s="46"/>
      <c r="O371" s="46"/>
      <c r="P371" s="46"/>
      <c r="Q371" s="46"/>
      <c r="R371" s="46"/>
      <c r="S371" s="46"/>
      <c r="T371" s="46"/>
      <c r="U371" s="46"/>
    </row>
    <row r="372" spans="2:21">
      <c r="B372" s="46"/>
      <c r="C372" s="46"/>
      <c r="D372" s="46"/>
      <c r="E372" s="46"/>
      <c r="F372" s="46"/>
      <c r="G372" s="46"/>
      <c r="H372" s="46"/>
      <c r="I372" s="46"/>
      <c r="J372" s="46"/>
      <c r="K372" s="46"/>
      <c r="L372" s="46"/>
      <c r="M372" s="46"/>
      <c r="N372" s="46"/>
      <c r="O372" s="46"/>
      <c r="P372" s="46"/>
      <c r="Q372" s="46"/>
      <c r="R372" s="46"/>
      <c r="S372" s="46"/>
      <c r="T372" s="46"/>
      <c r="U372" s="46"/>
    </row>
    <row r="373" spans="2:21">
      <c r="B373" s="46"/>
      <c r="C373" s="46"/>
      <c r="D373" s="46"/>
      <c r="E373" s="46"/>
      <c r="F373" s="46"/>
      <c r="G373" s="46"/>
      <c r="H373" s="46"/>
      <c r="I373" s="46"/>
      <c r="J373" s="46"/>
      <c r="K373" s="46"/>
      <c r="L373" s="46"/>
      <c r="M373" s="46"/>
      <c r="N373" s="46"/>
      <c r="O373" s="46"/>
      <c r="P373" s="46"/>
      <c r="Q373" s="46"/>
      <c r="R373" s="46"/>
      <c r="S373" s="46"/>
      <c r="T373" s="46"/>
      <c r="U373" s="46"/>
    </row>
    <row r="374" spans="2:21">
      <c r="B374" s="46"/>
      <c r="C374" s="46"/>
      <c r="D374" s="46"/>
      <c r="E374" s="46"/>
      <c r="F374" s="46"/>
      <c r="G374" s="46"/>
      <c r="H374" s="46"/>
      <c r="I374" s="46"/>
      <c r="J374" s="46"/>
      <c r="K374" s="46"/>
      <c r="L374" s="46"/>
      <c r="M374" s="46"/>
      <c r="N374" s="46"/>
      <c r="O374" s="46"/>
      <c r="P374" s="46"/>
      <c r="Q374" s="46"/>
      <c r="R374" s="46"/>
      <c r="S374" s="46"/>
      <c r="T374" s="46"/>
      <c r="U374" s="46"/>
    </row>
    <row r="375" spans="2:21">
      <c r="B375" s="46"/>
      <c r="C375" s="46"/>
      <c r="D375" s="46"/>
      <c r="E375" s="46"/>
      <c r="F375" s="46"/>
      <c r="G375" s="46"/>
      <c r="H375" s="46"/>
      <c r="I375" s="46"/>
      <c r="J375" s="46"/>
      <c r="K375" s="46"/>
      <c r="L375" s="46"/>
      <c r="M375" s="46"/>
      <c r="N375" s="46"/>
      <c r="O375" s="46"/>
      <c r="P375" s="46"/>
      <c r="Q375" s="46"/>
      <c r="R375" s="46"/>
      <c r="S375" s="46"/>
      <c r="T375" s="46"/>
      <c r="U375" s="46"/>
    </row>
    <row r="376" spans="2:21">
      <c r="B376" s="46"/>
      <c r="C376" s="46"/>
      <c r="D376" s="46"/>
      <c r="E376" s="46"/>
      <c r="F376" s="46"/>
      <c r="G376" s="46"/>
      <c r="H376" s="46"/>
      <c r="I376" s="46"/>
      <c r="J376" s="46"/>
      <c r="K376" s="46"/>
      <c r="L376" s="46"/>
      <c r="M376" s="46"/>
      <c r="N376" s="46"/>
      <c r="O376" s="46"/>
      <c r="P376" s="46"/>
      <c r="Q376" s="46"/>
      <c r="R376" s="46"/>
      <c r="S376" s="46"/>
      <c r="T376" s="46"/>
      <c r="U376" s="46"/>
    </row>
    <row r="377" spans="2:21">
      <c r="B377" s="46"/>
      <c r="C377" s="46"/>
      <c r="D377" s="46"/>
      <c r="E377" s="46"/>
      <c r="F377" s="46"/>
      <c r="G377" s="46"/>
      <c r="H377" s="46"/>
      <c r="I377" s="46"/>
      <c r="J377" s="46"/>
      <c r="K377" s="46"/>
      <c r="L377" s="46"/>
      <c r="M377" s="46"/>
      <c r="N377" s="46"/>
      <c r="O377" s="46"/>
      <c r="P377" s="46"/>
      <c r="Q377" s="46"/>
      <c r="R377" s="46"/>
      <c r="S377" s="46"/>
      <c r="T377" s="46"/>
      <c r="U377" s="46"/>
    </row>
    <row r="378" spans="2:21">
      <c r="B378" s="46"/>
      <c r="C378" s="46"/>
      <c r="D378" s="46"/>
      <c r="E378" s="46"/>
      <c r="F378" s="46"/>
      <c r="G378" s="46"/>
      <c r="H378" s="46"/>
      <c r="I378" s="46"/>
      <c r="J378" s="46"/>
      <c r="K378" s="46"/>
      <c r="L378" s="46"/>
      <c r="M378" s="46"/>
      <c r="N378" s="46"/>
      <c r="O378" s="46"/>
      <c r="P378" s="46"/>
      <c r="Q378" s="46"/>
      <c r="R378" s="46"/>
      <c r="S378" s="46"/>
      <c r="T378" s="46"/>
      <c r="U378" s="46"/>
    </row>
    <row r="379" spans="2:21">
      <c r="B379" s="46"/>
      <c r="C379" s="46"/>
      <c r="D379" s="46"/>
      <c r="E379" s="46"/>
      <c r="F379" s="46"/>
      <c r="G379" s="46"/>
      <c r="H379" s="46"/>
      <c r="I379" s="46"/>
      <c r="J379" s="46"/>
      <c r="K379" s="46"/>
      <c r="L379" s="46"/>
      <c r="M379" s="46"/>
      <c r="N379" s="46"/>
      <c r="O379" s="46"/>
      <c r="P379" s="46"/>
      <c r="Q379" s="46"/>
      <c r="R379" s="46"/>
      <c r="S379" s="46"/>
      <c r="T379" s="46"/>
      <c r="U379" s="46"/>
    </row>
    <row r="380" spans="2:21">
      <c r="B380" s="46"/>
      <c r="C380" s="46"/>
      <c r="D380" s="46"/>
      <c r="E380" s="46"/>
      <c r="F380" s="46"/>
      <c r="G380" s="46"/>
      <c r="H380" s="46"/>
      <c r="I380" s="46"/>
      <c r="J380" s="46"/>
      <c r="K380" s="46"/>
      <c r="L380" s="46"/>
      <c r="M380" s="46"/>
      <c r="N380" s="46"/>
      <c r="O380" s="46"/>
      <c r="P380" s="46"/>
      <c r="Q380" s="46"/>
      <c r="R380" s="46"/>
      <c r="S380" s="46"/>
      <c r="T380" s="46"/>
      <c r="U380" s="46"/>
    </row>
    <row r="381" spans="2:21">
      <c r="B381" s="46"/>
      <c r="C381" s="46"/>
      <c r="D381" s="46"/>
      <c r="E381" s="46"/>
      <c r="F381" s="46"/>
      <c r="G381" s="46"/>
      <c r="H381" s="46"/>
      <c r="I381" s="46"/>
      <c r="J381" s="46"/>
      <c r="K381" s="46"/>
      <c r="L381" s="46"/>
      <c r="M381" s="46"/>
      <c r="N381" s="46"/>
      <c r="O381" s="46"/>
      <c r="P381" s="46"/>
      <c r="Q381" s="46"/>
      <c r="R381" s="46"/>
      <c r="S381" s="46"/>
      <c r="T381" s="46"/>
      <c r="U381" s="46"/>
    </row>
    <row r="382" spans="2:21">
      <c r="B382" s="46"/>
      <c r="C382" s="46"/>
      <c r="D382" s="46"/>
      <c r="E382" s="46"/>
      <c r="F382" s="46"/>
      <c r="G382" s="46"/>
      <c r="H382" s="46"/>
      <c r="I382" s="46"/>
      <c r="J382" s="46"/>
      <c r="K382" s="46"/>
      <c r="L382" s="46"/>
      <c r="M382" s="46"/>
      <c r="N382" s="46"/>
      <c r="O382" s="46"/>
      <c r="P382" s="46"/>
      <c r="Q382" s="46"/>
      <c r="R382" s="46"/>
      <c r="S382" s="46"/>
      <c r="T382" s="46"/>
      <c r="U382" s="46"/>
    </row>
    <row r="383" spans="2:21">
      <c r="B383" s="46"/>
      <c r="C383" s="46"/>
      <c r="D383" s="46"/>
      <c r="E383" s="46"/>
      <c r="F383" s="46"/>
      <c r="G383" s="46"/>
      <c r="H383" s="46"/>
      <c r="I383" s="46"/>
      <c r="J383" s="46"/>
      <c r="K383" s="46"/>
      <c r="L383" s="46"/>
      <c r="M383" s="46"/>
      <c r="N383" s="46"/>
      <c r="O383" s="46"/>
      <c r="P383" s="46"/>
      <c r="Q383" s="46"/>
      <c r="R383" s="46"/>
      <c r="S383" s="46"/>
      <c r="T383" s="46"/>
      <c r="U383" s="46"/>
    </row>
    <row r="384" spans="2:21">
      <c r="B384" s="46"/>
      <c r="C384" s="46"/>
      <c r="D384" s="46"/>
      <c r="E384" s="46"/>
      <c r="F384" s="46"/>
      <c r="G384" s="46"/>
      <c r="H384" s="46"/>
      <c r="I384" s="46"/>
      <c r="J384" s="46"/>
      <c r="K384" s="46"/>
      <c r="L384" s="46"/>
      <c r="M384" s="46"/>
      <c r="N384" s="46"/>
      <c r="O384" s="46"/>
      <c r="P384" s="46"/>
      <c r="Q384" s="46"/>
      <c r="R384" s="46"/>
      <c r="S384" s="46"/>
      <c r="T384" s="46"/>
      <c r="U384" s="46"/>
    </row>
    <row r="385" spans="2:21">
      <c r="B385" s="46"/>
      <c r="C385" s="46"/>
      <c r="D385" s="46"/>
      <c r="E385" s="46"/>
      <c r="F385" s="46"/>
      <c r="G385" s="46"/>
      <c r="H385" s="46"/>
      <c r="I385" s="46"/>
      <c r="J385" s="46"/>
      <c r="K385" s="46"/>
      <c r="L385" s="46"/>
      <c r="M385" s="46"/>
      <c r="N385" s="46"/>
      <c r="O385" s="46"/>
      <c r="P385" s="46"/>
      <c r="Q385" s="46"/>
      <c r="R385" s="46"/>
      <c r="S385" s="46"/>
      <c r="T385" s="46"/>
      <c r="U385" s="46"/>
    </row>
    <row r="386" spans="2:21">
      <c r="B386" s="46"/>
      <c r="C386" s="46"/>
      <c r="D386" s="46"/>
      <c r="E386" s="46"/>
      <c r="F386" s="46"/>
      <c r="G386" s="46"/>
      <c r="H386" s="46"/>
      <c r="I386" s="46"/>
      <c r="J386" s="46"/>
      <c r="K386" s="46"/>
      <c r="L386" s="46"/>
      <c r="M386" s="46"/>
      <c r="N386" s="46"/>
      <c r="O386" s="46"/>
      <c r="P386" s="46"/>
      <c r="Q386" s="46"/>
      <c r="R386" s="46"/>
      <c r="S386" s="46"/>
      <c r="T386" s="46"/>
      <c r="U386" s="46"/>
    </row>
    <row r="387" spans="2:21">
      <c r="B387" s="46"/>
      <c r="C387" s="46"/>
      <c r="D387" s="46"/>
      <c r="E387" s="46"/>
      <c r="F387" s="46"/>
      <c r="G387" s="46"/>
      <c r="H387" s="46"/>
      <c r="I387" s="46"/>
      <c r="J387" s="46"/>
      <c r="K387" s="46"/>
      <c r="L387" s="46"/>
      <c r="M387" s="46"/>
      <c r="N387" s="46"/>
      <c r="O387" s="46"/>
      <c r="P387" s="46"/>
      <c r="Q387" s="46"/>
      <c r="R387" s="46"/>
      <c r="S387" s="46"/>
      <c r="T387" s="46"/>
      <c r="U387" s="46"/>
    </row>
    <row r="388" spans="2:21">
      <c r="B388" s="46"/>
      <c r="C388" s="46"/>
      <c r="D388" s="46"/>
      <c r="E388" s="46"/>
      <c r="F388" s="46"/>
      <c r="G388" s="46"/>
      <c r="H388" s="46"/>
      <c r="I388" s="46"/>
      <c r="J388" s="46"/>
      <c r="K388" s="46"/>
      <c r="L388" s="46"/>
      <c r="M388" s="46"/>
      <c r="N388" s="46"/>
      <c r="O388" s="46"/>
      <c r="P388" s="46"/>
      <c r="Q388" s="46"/>
      <c r="R388" s="46"/>
      <c r="S388" s="46"/>
      <c r="T388" s="46"/>
      <c r="U388" s="46"/>
    </row>
    <row r="389" spans="2:21">
      <c r="B389" s="46"/>
      <c r="C389" s="46"/>
      <c r="D389" s="46"/>
      <c r="E389" s="46"/>
      <c r="F389" s="46"/>
      <c r="G389" s="46"/>
      <c r="H389" s="46"/>
      <c r="I389" s="46"/>
      <c r="J389" s="46"/>
      <c r="K389" s="46"/>
      <c r="L389" s="46"/>
      <c r="M389" s="46"/>
      <c r="N389" s="46"/>
      <c r="O389" s="46"/>
      <c r="P389" s="46"/>
      <c r="Q389" s="46"/>
      <c r="R389" s="46"/>
      <c r="S389" s="46"/>
      <c r="T389" s="46"/>
      <c r="U389" s="46"/>
    </row>
    <row r="390" spans="2:21">
      <c r="B390" s="46"/>
      <c r="C390" s="46"/>
      <c r="D390" s="46"/>
      <c r="E390" s="46"/>
      <c r="F390" s="46"/>
      <c r="G390" s="46"/>
      <c r="H390" s="46"/>
      <c r="I390" s="46"/>
      <c r="J390" s="46"/>
      <c r="K390" s="46"/>
      <c r="L390" s="46"/>
      <c r="M390" s="46"/>
      <c r="N390" s="46"/>
      <c r="O390" s="46"/>
      <c r="P390" s="46"/>
      <c r="Q390" s="46"/>
      <c r="R390" s="46"/>
      <c r="S390" s="46"/>
      <c r="T390" s="46"/>
      <c r="U390" s="46"/>
    </row>
    <row r="391" spans="2:21">
      <c r="B391" s="46"/>
      <c r="C391" s="46"/>
      <c r="D391" s="46"/>
      <c r="E391" s="46"/>
      <c r="F391" s="46"/>
      <c r="G391" s="46"/>
      <c r="H391" s="46"/>
      <c r="I391" s="46"/>
      <c r="J391" s="46"/>
      <c r="K391" s="46"/>
      <c r="L391" s="46"/>
      <c r="M391" s="46"/>
      <c r="N391" s="46"/>
      <c r="O391" s="46"/>
      <c r="P391" s="46"/>
      <c r="Q391" s="46"/>
      <c r="R391" s="46"/>
      <c r="S391" s="46"/>
      <c r="T391" s="46"/>
      <c r="U391" s="46"/>
    </row>
    <row r="392" spans="2:21">
      <c r="B392" s="46"/>
      <c r="C392" s="46"/>
      <c r="D392" s="46"/>
      <c r="E392" s="46"/>
      <c r="F392" s="46"/>
      <c r="G392" s="46"/>
      <c r="H392" s="46"/>
      <c r="I392" s="46"/>
      <c r="J392" s="46"/>
      <c r="K392" s="46"/>
      <c r="L392" s="46"/>
      <c r="M392" s="46"/>
      <c r="N392" s="46"/>
      <c r="O392" s="46"/>
      <c r="P392" s="46"/>
      <c r="Q392" s="46"/>
      <c r="R392" s="46"/>
      <c r="S392" s="46"/>
      <c r="T392" s="46"/>
      <c r="U392" s="46"/>
    </row>
    <row r="393" spans="2:21">
      <c r="B393" s="46"/>
      <c r="C393" s="46"/>
      <c r="D393" s="46"/>
      <c r="E393" s="46"/>
      <c r="F393" s="46"/>
      <c r="G393" s="46"/>
      <c r="H393" s="46"/>
      <c r="I393" s="46"/>
      <c r="J393" s="46"/>
      <c r="K393" s="46"/>
      <c r="L393" s="46"/>
      <c r="M393" s="46"/>
      <c r="N393" s="46"/>
      <c r="O393" s="46"/>
      <c r="P393" s="46"/>
      <c r="Q393" s="46"/>
      <c r="R393" s="46"/>
      <c r="S393" s="46"/>
      <c r="T393" s="46"/>
      <c r="U393" s="46"/>
    </row>
    <row r="394" spans="2:21">
      <c r="B394" s="46"/>
      <c r="C394" s="46"/>
      <c r="D394" s="46"/>
      <c r="E394" s="46"/>
      <c r="F394" s="46"/>
      <c r="G394" s="46"/>
      <c r="H394" s="46"/>
      <c r="I394" s="46"/>
      <c r="J394" s="46"/>
      <c r="K394" s="46"/>
      <c r="L394" s="46"/>
      <c r="M394" s="46"/>
      <c r="N394" s="46"/>
      <c r="O394" s="46"/>
      <c r="P394" s="46"/>
      <c r="Q394" s="46"/>
      <c r="R394" s="46"/>
      <c r="S394" s="46"/>
      <c r="T394" s="46"/>
      <c r="U394" s="46"/>
    </row>
    <row r="395" spans="2:21">
      <c r="B395" s="46"/>
      <c r="C395" s="46"/>
      <c r="D395" s="46"/>
      <c r="E395" s="46"/>
      <c r="F395" s="46"/>
      <c r="G395" s="46"/>
      <c r="H395" s="46"/>
      <c r="I395" s="46"/>
      <c r="J395" s="46"/>
      <c r="K395" s="46"/>
      <c r="L395" s="46"/>
      <c r="M395" s="46"/>
      <c r="N395" s="46"/>
      <c r="O395" s="46"/>
      <c r="P395" s="46"/>
      <c r="Q395" s="46"/>
      <c r="R395" s="46"/>
      <c r="S395" s="46"/>
      <c r="T395" s="46"/>
      <c r="U395" s="46"/>
    </row>
    <row r="396" spans="2:21">
      <c r="B396" s="46"/>
      <c r="C396" s="46"/>
      <c r="D396" s="46"/>
      <c r="E396" s="46"/>
      <c r="F396" s="46"/>
      <c r="G396" s="46"/>
      <c r="H396" s="46"/>
      <c r="I396" s="46"/>
      <c r="J396" s="46"/>
      <c r="K396" s="46"/>
      <c r="L396" s="46"/>
      <c r="M396" s="46"/>
      <c r="N396" s="46"/>
      <c r="O396" s="46"/>
      <c r="P396" s="46"/>
      <c r="Q396" s="46"/>
      <c r="R396" s="46"/>
      <c r="S396" s="46"/>
      <c r="T396" s="46"/>
      <c r="U396" s="46"/>
    </row>
    <row r="397" spans="2:21">
      <c r="B397" s="46"/>
      <c r="C397" s="46"/>
      <c r="D397" s="46"/>
      <c r="E397" s="46"/>
      <c r="F397" s="46"/>
      <c r="G397" s="46"/>
      <c r="H397" s="46"/>
      <c r="I397" s="46"/>
      <c r="J397" s="46"/>
      <c r="K397" s="46"/>
      <c r="L397" s="46"/>
      <c r="M397" s="46"/>
      <c r="N397" s="46"/>
      <c r="O397" s="46"/>
      <c r="P397" s="46"/>
      <c r="Q397" s="46"/>
      <c r="R397" s="46"/>
      <c r="S397" s="46"/>
      <c r="T397" s="46"/>
      <c r="U397" s="46"/>
    </row>
    <row r="398" spans="2:21">
      <c r="B398" s="46"/>
      <c r="C398" s="46"/>
      <c r="D398" s="46"/>
      <c r="E398" s="46"/>
      <c r="F398" s="46"/>
      <c r="G398" s="46"/>
      <c r="H398" s="46"/>
      <c r="I398" s="46"/>
      <c r="J398" s="46"/>
      <c r="K398" s="46"/>
      <c r="L398" s="46"/>
      <c r="M398" s="46"/>
      <c r="N398" s="46"/>
      <c r="O398" s="46"/>
      <c r="P398" s="46"/>
      <c r="Q398" s="46"/>
      <c r="R398" s="46"/>
      <c r="S398" s="46"/>
      <c r="T398" s="46"/>
      <c r="U398" s="46"/>
    </row>
    <row r="399" spans="2:21">
      <c r="B399" s="46"/>
      <c r="C399" s="46"/>
      <c r="D399" s="46"/>
      <c r="E399" s="46"/>
      <c r="F399" s="46"/>
      <c r="G399" s="46"/>
      <c r="H399" s="46"/>
      <c r="I399" s="46"/>
      <c r="J399" s="46"/>
      <c r="K399" s="46"/>
      <c r="L399" s="46"/>
      <c r="M399" s="46"/>
      <c r="N399" s="46"/>
      <c r="O399" s="46"/>
      <c r="P399" s="46"/>
      <c r="Q399" s="46"/>
      <c r="R399" s="46"/>
      <c r="S399" s="46"/>
      <c r="T399" s="46"/>
      <c r="U399" s="46"/>
    </row>
    <row r="400" spans="2:21">
      <c r="B400" s="46"/>
      <c r="C400" s="46"/>
      <c r="D400" s="46"/>
      <c r="E400" s="46"/>
      <c r="F400" s="46"/>
      <c r="G400" s="46"/>
      <c r="H400" s="46"/>
      <c r="I400" s="46"/>
      <c r="J400" s="46"/>
      <c r="K400" s="46"/>
      <c r="L400" s="46"/>
      <c r="M400" s="46"/>
      <c r="N400" s="46"/>
      <c r="O400" s="46"/>
      <c r="P400" s="46"/>
      <c r="Q400" s="46"/>
      <c r="R400" s="46"/>
      <c r="S400" s="46"/>
      <c r="T400" s="46"/>
      <c r="U400" s="46"/>
    </row>
    <row r="401" spans="2:21">
      <c r="B401" s="46"/>
      <c r="C401" s="46"/>
      <c r="D401" s="46"/>
      <c r="E401" s="46"/>
      <c r="F401" s="46"/>
      <c r="G401" s="46"/>
      <c r="H401" s="46"/>
      <c r="I401" s="46"/>
      <c r="J401" s="46"/>
      <c r="K401" s="46"/>
      <c r="L401" s="46"/>
      <c r="M401" s="46"/>
      <c r="N401" s="46"/>
      <c r="O401" s="46"/>
      <c r="P401" s="46"/>
      <c r="Q401" s="46"/>
      <c r="R401" s="46"/>
      <c r="S401" s="46"/>
      <c r="T401" s="46"/>
      <c r="U401" s="46"/>
    </row>
    <row r="402" spans="2:21">
      <c r="B402" s="46"/>
      <c r="C402" s="46"/>
      <c r="D402" s="46"/>
      <c r="E402" s="46"/>
      <c r="F402" s="46"/>
      <c r="G402" s="46"/>
      <c r="H402" s="46"/>
      <c r="I402" s="46"/>
      <c r="J402" s="46"/>
      <c r="K402" s="46"/>
      <c r="L402" s="46"/>
      <c r="M402" s="46"/>
      <c r="N402" s="46"/>
      <c r="O402" s="46"/>
      <c r="P402" s="46"/>
      <c r="Q402" s="46"/>
      <c r="R402" s="46"/>
      <c r="S402" s="46"/>
      <c r="T402" s="46"/>
      <c r="U402" s="46"/>
    </row>
    <row r="403" spans="2:21">
      <c r="B403" s="46"/>
      <c r="C403" s="46"/>
      <c r="D403" s="46"/>
      <c r="E403" s="46"/>
      <c r="F403" s="46"/>
      <c r="G403" s="46"/>
      <c r="H403" s="46"/>
      <c r="I403" s="46"/>
      <c r="J403" s="46"/>
      <c r="K403" s="46"/>
      <c r="L403" s="46"/>
      <c r="M403" s="46"/>
      <c r="N403" s="46"/>
      <c r="O403" s="46"/>
      <c r="P403" s="46"/>
      <c r="Q403" s="46"/>
      <c r="R403" s="46"/>
      <c r="S403" s="46"/>
      <c r="T403" s="46"/>
      <c r="U403" s="46"/>
    </row>
    <row r="404" spans="2:21">
      <c r="B404" s="46"/>
      <c r="C404" s="46"/>
      <c r="D404" s="46"/>
      <c r="E404" s="46"/>
      <c r="F404" s="46"/>
      <c r="G404" s="46"/>
      <c r="H404" s="46"/>
      <c r="I404" s="46"/>
      <c r="J404" s="46"/>
      <c r="K404" s="46"/>
      <c r="L404" s="46"/>
      <c r="M404" s="46"/>
      <c r="N404" s="46"/>
      <c r="O404" s="46"/>
      <c r="P404" s="46"/>
      <c r="Q404" s="46"/>
      <c r="R404" s="46"/>
      <c r="S404" s="46"/>
      <c r="T404" s="46"/>
      <c r="U404" s="46"/>
    </row>
    <row r="405" spans="2:21">
      <c r="B405" s="46"/>
      <c r="C405" s="46"/>
      <c r="D405" s="46"/>
      <c r="E405" s="46"/>
      <c r="F405" s="46"/>
      <c r="G405" s="46"/>
      <c r="H405" s="46"/>
      <c r="I405" s="46"/>
      <c r="J405" s="46"/>
      <c r="K405" s="46"/>
      <c r="L405" s="46"/>
      <c r="M405" s="46"/>
      <c r="N405" s="46"/>
      <c r="O405" s="46"/>
      <c r="P405" s="46"/>
      <c r="Q405" s="46"/>
      <c r="R405" s="46"/>
      <c r="S405" s="46"/>
      <c r="T405" s="46"/>
      <c r="U405" s="46"/>
    </row>
    <row r="406" spans="2:21">
      <c r="B406" s="46"/>
      <c r="C406" s="46"/>
      <c r="D406" s="46"/>
      <c r="E406" s="46"/>
      <c r="F406" s="46"/>
      <c r="G406" s="46"/>
      <c r="H406" s="46"/>
      <c r="I406" s="46"/>
      <c r="J406" s="46"/>
      <c r="K406" s="46"/>
      <c r="L406" s="46"/>
      <c r="M406" s="46"/>
      <c r="N406" s="46"/>
      <c r="O406" s="46"/>
      <c r="P406" s="46"/>
      <c r="Q406" s="46"/>
      <c r="R406" s="46"/>
      <c r="S406" s="46"/>
      <c r="T406" s="46"/>
      <c r="U406" s="46"/>
    </row>
    <row r="407" spans="2:21">
      <c r="B407" s="46"/>
      <c r="C407" s="46"/>
      <c r="D407" s="46"/>
      <c r="E407" s="46"/>
      <c r="F407" s="46"/>
      <c r="G407" s="46"/>
      <c r="H407" s="46"/>
      <c r="I407" s="46"/>
      <c r="J407" s="46"/>
      <c r="K407" s="46"/>
      <c r="L407" s="46"/>
      <c r="M407" s="46"/>
      <c r="N407" s="46"/>
      <c r="O407" s="46"/>
      <c r="P407" s="46"/>
      <c r="Q407" s="46"/>
      <c r="R407" s="46"/>
      <c r="S407" s="46"/>
      <c r="T407" s="46"/>
      <c r="U407" s="46"/>
    </row>
    <row r="408" spans="2:21">
      <c r="B408" s="46"/>
      <c r="C408" s="46"/>
      <c r="D408" s="46"/>
      <c r="E408" s="46"/>
      <c r="F408" s="46"/>
      <c r="G408" s="46"/>
      <c r="H408" s="46"/>
      <c r="I408" s="46"/>
      <c r="J408" s="46"/>
      <c r="K408" s="46"/>
      <c r="L408" s="46"/>
      <c r="M408" s="46"/>
      <c r="N408" s="46"/>
      <c r="O408" s="46"/>
      <c r="P408" s="46"/>
      <c r="Q408" s="46"/>
      <c r="R408" s="46"/>
      <c r="S408" s="46"/>
      <c r="T408" s="46"/>
      <c r="U408" s="46"/>
    </row>
    <row r="409" spans="2:21">
      <c r="B409" s="46"/>
      <c r="C409" s="46"/>
      <c r="D409" s="46"/>
      <c r="E409" s="46"/>
      <c r="F409" s="46"/>
      <c r="G409" s="46"/>
      <c r="H409" s="46"/>
      <c r="I409" s="46"/>
      <c r="J409" s="46"/>
      <c r="K409" s="46"/>
      <c r="L409" s="46"/>
      <c r="M409" s="46"/>
      <c r="N409" s="46"/>
      <c r="O409" s="46"/>
      <c r="P409" s="46"/>
      <c r="Q409" s="46"/>
      <c r="R409" s="46"/>
      <c r="S409" s="46"/>
      <c r="T409" s="46"/>
      <c r="U409" s="46"/>
    </row>
    <row r="410" spans="2:21">
      <c r="B410" s="46"/>
      <c r="C410" s="46"/>
      <c r="D410" s="46"/>
      <c r="E410" s="46"/>
      <c r="F410" s="46"/>
      <c r="G410" s="46"/>
      <c r="H410" s="46"/>
      <c r="I410" s="46"/>
      <c r="J410" s="46"/>
      <c r="K410" s="46"/>
      <c r="L410" s="46"/>
      <c r="M410" s="46"/>
      <c r="N410" s="46"/>
      <c r="O410" s="46"/>
      <c r="P410" s="46"/>
      <c r="Q410" s="46"/>
      <c r="R410" s="46"/>
      <c r="S410" s="46"/>
      <c r="T410" s="46"/>
      <c r="U410" s="46"/>
    </row>
    <row r="411" spans="2:21">
      <c r="B411" s="46"/>
      <c r="C411" s="46"/>
      <c r="D411" s="46"/>
      <c r="E411" s="46"/>
      <c r="F411" s="46"/>
      <c r="G411" s="46"/>
      <c r="H411" s="46"/>
      <c r="I411" s="46"/>
      <c r="J411" s="46"/>
      <c r="K411" s="46"/>
      <c r="L411" s="46"/>
      <c r="M411" s="46"/>
      <c r="N411" s="46"/>
      <c r="O411" s="46"/>
      <c r="P411" s="46"/>
      <c r="Q411" s="46"/>
      <c r="R411" s="46"/>
      <c r="S411" s="46"/>
      <c r="T411" s="46"/>
      <c r="U411" s="46"/>
    </row>
    <row r="412" spans="2:21">
      <c r="B412" s="46"/>
      <c r="C412" s="46"/>
      <c r="D412" s="46"/>
      <c r="E412" s="46"/>
      <c r="F412" s="46"/>
      <c r="G412" s="46"/>
      <c r="H412" s="46"/>
      <c r="I412" s="46"/>
      <c r="J412" s="46"/>
      <c r="K412" s="46"/>
      <c r="L412" s="46"/>
      <c r="M412" s="46"/>
      <c r="N412" s="46"/>
      <c r="O412" s="46"/>
      <c r="P412" s="46"/>
      <c r="Q412" s="46"/>
      <c r="R412" s="46"/>
      <c r="S412" s="46"/>
      <c r="T412" s="46"/>
      <c r="U412" s="46"/>
    </row>
    <row r="413" spans="2:21">
      <c r="B413" s="46"/>
      <c r="C413" s="46"/>
      <c r="D413" s="46"/>
      <c r="E413" s="46"/>
      <c r="F413" s="46"/>
      <c r="G413" s="46"/>
      <c r="H413" s="46"/>
      <c r="I413" s="46"/>
      <c r="J413" s="46"/>
      <c r="K413" s="46"/>
      <c r="L413" s="46"/>
      <c r="M413" s="46"/>
      <c r="N413" s="46"/>
      <c r="O413" s="46"/>
      <c r="P413" s="46"/>
      <c r="Q413" s="46"/>
      <c r="R413" s="46"/>
      <c r="S413" s="46"/>
      <c r="T413" s="46"/>
      <c r="U413" s="46"/>
    </row>
    <row r="414" spans="2:21">
      <c r="B414" s="46"/>
      <c r="C414" s="46"/>
      <c r="D414" s="46"/>
      <c r="E414" s="46"/>
      <c r="F414" s="46"/>
      <c r="G414" s="46"/>
      <c r="H414" s="46"/>
      <c r="I414" s="46"/>
      <c r="J414" s="46"/>
      <c r="K414" s="46"/>
      <c r="L414" s="46"/>
      <c r="M414" s="46"/>
      <c r="N414" s="46"/>
      <c r="O414" s="46"/>
      <c r="P414" s="46"/>
      <c r="Q414" s="46"/>
      <c r="R414" s="46"/>
      <c r="S414" s="46"/>
      <c r="T414" s="46"/>
      <c r="U414" s="46"/>
    </row>
    <row r="415" spans="2:21">
      <c r="B415" s="46"/>
      <c r="C415" s="46"/>
      <c r="D415" s="46"/>
      <c r="E415" s="46"/>
      <c r="F415" s="46"/>
      <c r="G415" s="46"/>
      <c r="H415" s="46"/>
      <c r="I415" s="46"/>
      <c r="J415" s="46"/>
      <c r="K415" s="46"/>
      <c r="L415" s="46"/>
      <c r="M415" s="46"/>
      <c r="N415" s="46"/>
      <c r="O415" s="46"/>
      <c r="P415" s="46"/>
      <c r="Q415" s="46"/>
      <c r="R415" s="46"/>
      <c r="S415" s="46"/>
      <c r="T415" s="46"/>
      <c r="U415" s="46"/>
    </row>
    <row r="416" spans="2:21">
      <c r="B416" s="46"/>
      <c r="C416" s="46"/>
      <c r="D416" s="46"/>
      <c r="E416" s="46"/>
      <c r="F416" s="46"/>
      <c r="G416" s="46"/>
      <c r="H416" s="46"/>
      <c r="I416" s="46"/>
      <c r="J416" s="46"/>
      <c r="K416" s="46"/>
      <c r="L416" s="46"/>
      <c r="M416" s="46"/>
      <c r="N416" s="46"/>
      <c r="O416" s="46"/>
      <c r="P416" s="46"/>
      <c r="Q416" s="46"/>
      <c r="R416" s="46"/>
      <c r="S416" s="46"/>
      <c r="T416" s="46"/>
      <c r="U416" s="46"/>
    </row>
    <row r="417" spans="2:21">
      <c r="B417" s="46"/>
      <c r="C417" s="46"/>
      <c r="D417" s="46"/>
      <c r="E417" s="46"/>
      <c r="F417" s="46"/>
      <c r="G417" s="46"/>
      <c r="H417" s="46"/>
      <c r="I417" s="46"/>
      <c r="J417" s="46"/>
      <c r="K417" s="46"/>
      <c r="L417" s="46"/>
      <c r="M417" s="46"/>
      <c r="N417" s="46"/>
      <c r="O417" s="46"/>
      <c r="P417" s="46"/>
      <c r="Q417" s="46"/>
      <c r="R417" s="46"/>
      <c r="S417" s="46"/>
      <c r="T417" s="46"/>
      <c r="U417" s="46"/>
    </row>
    <row r="418" spans="2:21">
      <c r="B418" s="46"/>
      <c r="C418" s="46"/>
      <c r="D418" s="46"/>
      <c r="E418" s="46"/>
      <c r="F418" s="46"/>
      <c r="G418" s="46"/>
      <c r="H418" s="46"/>
      <c r="I418" s="46"/>
      <c r="J418" s="46"/>
      <c r="K418" s="46"/>
      <c r="L418" s="46"/>
      <c r="M418" s="46"/>
      <c r="N418" s="46"/>
      <c r="O418" s="46"/>
      <c r="P418" s="46"/>
      <c r="Q418" s="46"/>
      <c r="R418" s="46"/>
      <c r="S418" s="46"/>
      <c r="T418" s="46"/>
      <c r="U418" s="46"/>
    </row>
    <row r="419" spans="2:21">
      <c r="B419" s="46"/>
      <c r="C419" s="46"/>
      <c r="D419" s="46"/>
      <c r="E419" s="46"/>
      <c r="F419" s="46"/>
      <c r="G419" s="46"/>
      <c r="H419" s="46"/>
      <c r="I419" s="46"/>
      <c r="J419" s="46"/>
      <c r="K419" s="46"/>
      <c r="L419" s="46"/>
      <c r="M419" s="46"/>
      <c r="N419" s="46"/>
      <c r="O419" s="46"/>
      <c r="P419" s="46"/>
      <c r="Q419" s="46"/>
      <c r="R419" s="46"/>
      <c r="S419" s="46"/>
      <c r="T419" s="46"/>
      <c r="U419" s="46"/>
    </row>
    <row r="420" spans="2:21">
      <c r="B420" s="46"/>
      <c r="C420" s="46"/>
      <c r="D420" s="46"/>
      <c r="E420" s="46"/>
      <c r="F420" s="46"/>
      <c r="G420" s="46"/>
      <c r="H420" s="46"/>
      <c r="I420" s="46"/>
      <c r="J420" s="46"/>
      <c r="K420" s="46"/>
      <c r="L420" s="46"/>
      <c r="M420" s="46"/>
      <c r="N420" s="46"/>
      <c r="O420" s="46"/>
      <c r="P420" s="46"/>
      <c r="Q420" s="46"/>
      <c r="R420" s="46"/>
      <c r="S420" s="46"/>
      <c r="T420" s="46"/>
      <c r="U420" s="46"/>
    </row>
    <row r="421" spans="2:21">
      <c r="B421" s="46"/>
      <c r="C421" s="46"/>
      <c r="D421" s="46"/>
      <c r="E421" s="46"/>
      <c r="F421" s="46"/>
      <c r="G421" s="46"/>
      <c r="H421" s="46"/>
      <c r="I421" s="46"/>
      <c r="J421" s="46"/>
      <c r="K421" s="46"/>
      <c r="L421" s="46"/>
      <c r="M421" s="46"/>
      <c r="N421" s="46"/>
      <c r="O421" s="46"/>
      <c r="P421" s="46"/>
      <c r="Q421" s="46"/>
      <c r="R421" s="46"/>
      <c r="S421" s="46"/>
      <c r="T421" s="46"/>
      <c r="U421" s="46"/>
    </row>
    <row r="422" spans="2:21">
      <c r="Q422" s="46"/>
      <c r="R422" s="46"/>
      <c r="S422" s="46"/>
      <c r="T422" s="46"/>
      <c r="U422" s="46"/>
    </row>
    <row r="423" spans="2:21">
      <c r="Q423" s="46"/>
      <c r="R423" s="46"/>
      <c r="S423" s="46"/>
      <c r="T423" s="46"/>
      <c r="U423" s="46"/>
    </row>
    <row r="424" spans="2:21">
      <c r="Q424" s="46"/>
      <c r="R424" s="46"/>
      <c r="S424" s="46"/>
      <c r="T424" s="46"/>
      <c r="U424" s="46"/>
    </row>
    <row r="425" spans="2:21">
      <c r="Q425" s="46"/>
      <c r="R425" s="46"/>
      <c r="S425" s="46"/>
      <c r="T425" s="46"/>
      <c r="U425" s="46"/>
    </row>
    <row r="426" spans="2:21">
      <c r="Q426" s="46"/>
      <c r="R426" s="46"/>
      <c r="S426" s="46"/>
      <c r="T426" s="46"/>
      <c r="U426" s="46"/>
    </row>
    <row r="427" spans="2:21">
      <c r="Q427" s="46"/>
      <c r="R427" s="46"/>
      <c r="S427" s="46"/>
      <c r="T427" s="46"/>
      <c r="U427" s="46"/>
    </row>
    <row r="428" spans="2:21">
      <c r="Q428" s="46"/>
      <c r="R428" s="46"/>
      <c r="S428" s="46"/>
      <c r="T428" s="46"/>
      <c r="U428" s="46"/>
    </row>
    <row r="429" spans="2:21">
      <c r="Q429" s="46"/>
      <c r="R429" s="46"/>
      <c r="S429" s="46"/>
      <c r="T429" s="46"/>
      <c r="U429" s="46"/>
    </row>
    <row r="430" spans="2:21">
      <c r="Q430" s="46"/>
      <c r="R430" s="46"/>
      <c r="S430" s="46"/>
      <c r="T430" s="46"/>
      <c r="U430" s="46"/>
    </row>
    <row r="431" spans="2:21">
      <c r="Q431" s="46"/>
      <c r="R431" s="46"/>
      <c r="S431" s="46"/>
      <c r="T431" s="46"/>
      <c r="U431" s="46"/>
    </row>
    <row r="432" spans="2:21">
      <c r="Q432" s="46"/>
      <c r="R432" s="46"/>
      <c r="S432" s="46"/>
      <c r="T432" s="46"/>
      <c r="U432" s="46"/>
    </row>
    <row r="433" spans="17:21">
      <c r="Q433" s="46"/>
      <c r="R433" s="46"/>
      <c r="S433" s="46"/>
      <c r="T433" s="46"/>
      <c r="U433" s="46"/>
    </row>
    <row r="434" spans="17:21">
      <c r="Q434" s="46"/>
      <c r="R434" s="46"/>
      <c r="S434" s="46"/>
      <c r="T434" s="46"/>
      <c r="U434" s="46"/>
    </row>
    <row r="435" spans="17:21">
      <c r="Q435" s="46"/>
      <c r="R435" s="46"/>
      <c r="S435" s="46"/>
      <c r="T435" s="46"/>
      <c r="U435" s="46"/>
    </row>
    <row r="436" spans="17:21">
      <c r="Q436" s="46"/>
      <c r="R436" s="46"/>
      <c r="S436" s="46"/>
      <c r="T436" s="46"/>
      <c r="U436" s="46"/>
    </row>
    <row r="437" spans="17:21">
      <c r="Q437" s="46"/>
      <c r="R437" s="46"/>
      <c r="S437" s="46"/>
      <c r="T437" s="46"/>
      <c r="U437" s="46"/>
    </row>
    <row r="438" spans="17:21">
      <c r="Q438" s="46"/>
      <c r="R438" s="46"/>
      <c r="S438" s="46"/>
      <c r="T438" s="46"/>
      <c r="U438" s="46"/>
    </row>
    <row r="439" spans="17:21">
      <c r="Q439" s="46"/>
      <c r="R439" s="46"/>
      <c r="S439" s="46"/>
      <c r="T439" s="46"/>
      <c r="U439" s="46"/>
    </row>
    <row r="440" spans="17:21">
      <c r="Q440" s="46"/>
      <c r="R440" s="46"/>
      <c r="S440" s="46"/>
      <c r="T440" s="46"/>
      <c r="U440" s="46"/>
    </row>
    <row r="441" spans="17:21">
      <c r="Q441" s="46"/>
      <c r="R441" s="46"/>
      <c r="S441" s="46"/>
      <c r="T441" s="46"/>
      <c r="U441" s="46"/>
    </row>
    <row r="442" spans="17:21">
      <c r="Q442" s="46"/>
      <c r="R442" s="46"/>
      <c r="S442" s="46"/>
      <c r="T442" s="46"/>
      <c r="U442" s="46"/>
    </row>
    <row r="443" spans="17:21">
      <c r="Q443" s="46"/>
      <c r="R443" s="46"/>
      <c r="S443" s="46"/>
      <c r="T443" s="46"/>
      <c r="U443" s="46"/>
    </row>
    <row r="444" spans="17:21">
      <c r="Q444" s="46"/>
      <c r="R444" s="46"/>
      <c r="S444" s="46"/>
      <c r="T444" s="46"/>
      <c r="U444" s="46"/>
    </row>
    <row r="445" spans="17:21">
      <c r="Q445" s="46"/>
      <c r="R445" s="46"/>
      <c r="S445" s="46"/>
      <c r="T445" s="46"/>
      <c r="U445" s="46"/>
    </row>
    <row r="446" spans="17:21">
      <c r="Q446" s="46"/>
      <c r="R446" s="46"/>
      <c r="S446" s="46"/>
      <c r="T446" s="46"/>
      <c r="U446" s="46"/>
    </row>
    <row r="447" spans="17:21">
      <c r="Q447" s="46"/>
      <c r="R447" s="46"/>
      <c r="S447" s="46"/>
      <c r="T447" s="46"/>
      <c r="U447" s="46"/>
    </row>
    <row r="448" spans="17:21">
      <c r="Q448" s="46"/>
      <c r="R448" s="46"/>
      <c r="S448" s="46"/>
      <c r="T448" s="46"/>
      <c r="U448" s="46"/>
    </row>
    <row r="449" spans="17:21">
      <c r="Q449" s="46"/>
      <c r="R449" s="46"/>
      <c r="S449" s="46"/>
      <c r="T449" s="46"/>
      <c r="U449" s="46"/>
    </row>
    <row r="450" spans="17:21">
      <c r="Q450" s="46"/>
      <c r="R450" s="46"/>
      <c r="S450" s="46"/>
      <c r="T450" s="46"/>
      <c r="U450" s="46"/>
    </row>
    <row r="451" spans="17:21">
      <c r="Q451" s="46"/>
      <c r="R451" s="46"/>
      <c r="S451" s="46"/>
      <c r="T451" s="46"/>
      <c r="U451" s="46"/>
    </row>
    <row r="452" spans="17:21">
      <c r="Q452" s="46"/>
      <c r="R452" s="46"/>
      <c r="S452" s="46"/>
      <c r="T452" s="46"/>
      <c r="U452" s="46"/>
    </row>
    <row r="453" spans="17:21">
      <c r="Q453" s="46"/>
      <c r="R453" s="46"/>
      <c r="S453" s="46"/>
      <c r="T453" s="46"/>
      <c r="U453" s="46"/>
    </row>
    <row r="454" spans="17:21">
      <c r="Q454" s="46"/>
      <c r="R454" s="46"/>
      <c r="S454" s="46"/>
      <c r="T454" s="46"/>
      <c r="U454" s="46"/>
    </row>
    <row r="455" spans="17:21">
      <c r="Q455" s="46"/>
      <c r="R455" s="46"/>
      <c r="S455" s="46"/>
      <c r="T455" s="46"/>
      <c r="U455" s="46"/>
    </row>
    <row r="456" spans="17:21">
      <c r="Q456" s="46"/>
      <c r="R456" s="46"/>
      <c r="S456" s="46"/>
      <c r="T456" s="46"/>
      <c r="U456" s="46"/>
    </row>
    <row r="457" spans="17:21">
      <c r="Q457" s="46"/>
      <c r="R457" s="46"/>
      <c r="S457" s="46"/>
      <c r="T457" s="46"/>
      <c r="U457" s="46"/>
    </row>
    <row r="458" spans="17:21">
      <c r="Q458" s="46"/>
      <c r="R458" s="46"/>
      <c r="S458" s="46"/>
      <c r="T458" s="46"/>
      <c r="U458" s="46"/>
    </row>
    <row r="459" spans="17:21">
      <c r="Q459" s="46"/>
      <c r="R459" s="46"/>
      <c r="S459" s="46"/>
      <c r="T459" s="46"/>
      <c r="U459" s="46"/>
    </row>
    <row r="460" spans="17:21">
      <c r="Q460" s="46"/>
      <c r="R460" s="46"/>
      <c r="S460" s="46"/>
      <c r="T460" s="46"/>
      <c r="U460" s="46"/>
    </row>
    <row r="461" spans="17:21">
      <c r="Q461" s="46"/>
      <c r="R461" s="46"/>
      <c r="S461" s="46"/>
      <c r="T461" s="46"/>
      <c r="U461" s="46"/>
    </row>
    <row r="462" spans="17:21">
      <c r="Q462" s="46"/>
      <c r="R462" s="46"/>
      <c r="S462" s="46"/>
      <c r="T462" s="46"/>
      <c r="U462" s="46"/>
    </row>
    <row r="463" spans="17:21">
      <c r="Q463" s="46"/>
      <c r="R463" s="46"/>
      <c r="S463" s="46"/>
      <c r="T463" s="46"/>
      <c r="U463" s="46"/>
    </row>
    <row r="464" spans="17:21">
      <c r="Q464" s="46"/>
      <c r="R464" s="46"/>
      <c r="S464" s="46"/>
      <c r="T464" s="46"/>
      <c r="U464" s="46"/>
    </row>
    <row r="465" spans="17:21">
      <c r="Q465" s="46"/>
      <c r="R465" s="46"/>
      <c r="S465" s="46"/>
      <c r="T465" s="46"/>
      <c r="U465" s="46"/>
    </row>
    <row r="466" spans="17:21">
      <c r="Q466" s="46"/>
      <c r="R466" s="46"/>
      <c r="S466" s="46"/>
      <c r="T466" s="46"/>
      <c r="U466" s="46"/>
    </row>
    <row r="467" spans="17:21">
      <c r="Q467" s="46"/>
      <c r="R467" s="46"/>
      <c r="S467" s="46"/>
      <c r="T467" s="46"/>
      <c r="U467" s="46"/>
    </row>
    <row r="468" spans="17:21">
      <c r="Q468" s="46"/>
      <c r="R468" s="46"/>
      <c r="S468" s="46"/>
      <c r="T468" s="46"/>
      <c r="U468" s="46"/>
    </row>
    <row r="469" spans="17:21">
      <c r="Q469" s="46"/>
      <c r="R469" s="46"/>
      <c r="S469" s="46"/>
      <c r="T469" s="46"/>
      <c r="U469" s="46"/>
    </row>
    <row r="470" spans="17:21">
      <c r="Q470" s="46"/>
      <c r="R470" s="46"/>
      <c r="S470" s="46"/>
      <c r="T470" s="46"/>
      <c r="U470" s="46"/>
    </row>
    <row r="471" spans="17:21">
      <c r="Q471" s="46"/>
      <c r="R471" s="46"/>
      <c r="S471" s="46"/>
      <c r="T471" s="46"/>
      <c r="U471" s="46"/>
    </row>
    <row r="472" spans="17:21">
      <c r="Q472" s="46"/>
      <c r="R472" s="46"/>
      <c r="S472" s="46"/>
      <c r="T472" s="46"/>
      <c r="U472" s="46"/>
    </row>
    <row r="473" spans="17:21">
      <c r="Q473" s="46"/>
      <c r="R473" s="46"/>
      <c r="S473" s="46"/>
      <c r="T473" s="46"/>
      <c r="U473" s="46"/>
    </row>
    <row r="474" spans="17:21">
      <c r="Q474" s="46"/>
      <c r="R474" s="46"/>
      <c r="S474" s="46"/>
      <c r="T474" s="46"/>
      <c r="U474" s="46"/>
    </row>
    <row r="475" spans="17:21">
      <c r="Q475" s="46"/>
      <c r="R475" s="46"/>
      <c r="S475" s="46"/>
      <c r="T475" s="46"/>
      <c r="U475" s="46"/>
    </row>
    <row r="476" spans="17:21">
      <c r="Q476" s="46"/>
      <c r="R476" s="46"/>
      <c r="S476" s="46"/>
      <c r="T476" s="46"/>
      <c r="U476" s="46"/>
    </row>
    <row r="477" spans="17:21">
      <c r="Q477" s="46"/>
      <c r="R477" s="46"/>
      <c r="S477" s="46"/>
      <c r="T477" s="46"/>
      <c r="U477" s="46"/>
    </row>
    <row r="478" spans="17:21">
      <c r="Q478" s="46"/>
      <c r="R478" s="46"/>
      <c r="S478" s="46"/>
      <c r="T478" s="46"/>
      <c r="U478" s="46"/>
    </row>
    <row r="479" spans="17:21">
      <c r="Q479" s="46"/>
      <c r="R479" s="46"/>
      <c r="S479" s="46"/>
      <c r="T479" s="46"/>
      <c r="U479" s="46"/>
    </row>
    <row r="480" spans="17:21">
      <c r="Q480" s="46"/>
      <c r="R480" s="46"/>
      <c r="S480" s="46"/>
      <c r="T480" s="46"/>
      <c r="U480" s="46"/>
    </row>
    <row r="481" spans="17:21">
      <c r="Q481" s="46"/>
      <c r="R481" s="46"/>
      <c r="S481" s="46"/>
      <c r="T481" s="46"/>
      <c r="U481" s="46"/>
    </row>
    <row r="482" spans="17:21">
      <c r="Q482" s="46"/>
      <c r="R482" s="46"/>
      <c r="S482" s="46"/>
      <c r="T482" s="46"/>
      <c r="U482" s="46"/>
    </row>
    <row r="483" spans="17:21">
      <c r="Q483" s="46"/>
      <c r="R483" s="46"/>
      <c r="S483" s="46"/>
      <c r="T483" s="46"/>
      <c r="U483" s="46"/>
    </row>
    <row r="484" spans="17:21">
      <c r="Q484" s="46"/>
      <c r="R484" s="46"/>
      <c r="S484" s="46"/>
      <c r="T484" s="46"/>
      <c r="U484" s="46"/>
    </row>
    <row r="485" spans="17:21">
      <c r="Q485" s="46"/>
      <c r="R485" s="46"/>
      <c r="S485" s="46"/>
      <c r="T485" s="46"/>
      <c r="U485" s="46"/>
    </row>
    <row r="486" spans="17:21">
      <c r="Q486" s="46"/>
      <c r="R486" s="46"/>
      <c r="S486" s="46"/>
      <c r="T486" s="46"/>
      <c r="U486" s="46"/>
    </row>
    <row r="487" spans="17:21">
      <c r="Q487" s="46"/>
      <c r="R487" s="46"/>
      <c r="S487" s="46"/>
      <c r="T487" s="46"/>
      <c r="U487" s="46"/>
    </row>
    <row r="488" spans="17:21">
      <c r="Q488" s="46"/>
      <c r="R488" s="46"/>
      <c r="S488" s="46"/>
      <c r="T488" s="46"/>
      <c r="U488" s="46"/>
    </row>
    <row r="489" spans="17:21">
      <c r="Q489" s="46"/>
      <c r="R489" s="46"/>
      <c r="S489" s="46"/>
      <c r="T489" s="46"/>
      <c r="U489" s="46"/>
    </row>
    <row r="490" spans="17:21">
      <c r="Q490" s="46"/>
      <c r="R490" s="46"/>
      <c r="S490" s="46"/>
      <c r="T490" s="46"/>
      <c r="U490" s="46"/>
    </row>
    <row r="491" spans="17:21">
      <c r="Q491" s="46"/>
      <c r="R491" s="46"/>
      <c r="S491" s="46"/>
      <c r="T491" s="46"/>
      <c r="U491" s="46"/>
    </row>
    <row r="492" spans="17:21">
      <c r="Q492" s="46"/>
      <c r="R492" s="46"/>
      <c r="S492" s="46"/>
      <c r="T492" s="46"/>
      <c r="U492" s="46"/>
    </row>
    <row r="493" spans="17:21">
      <c r="Q493" s="46"/>
      <c r="R493" s="46"/>
      <c r="S493" s="46"/>
      <c r="T493" s="46"/>
      <c r="U493" s="46"/>
    </row>
    <row r="494" spans="17:21">
      <c r="Q494" s="46"/>
      <c r="R494" s="46"/>
      <c r="S494" s="46"/>
      <c r="T494" s="46"/>
      <c r="U494" s="46"/>
    </row>
    <row r="495" spans="17:21">
      <c r="Q495" s="46"/>
      <c r="R495" s="46"/>
      <c r="S495" s="46"/>
      <c r="T495" s="46"/>
      <c r="U495" s="46"/>
    </row>
    <row r="496" spans="17:21">
      <c r="Q496" s="46"/>
      <c r="R496" s="46"/>
      <c r="S496" s="46"/>
      <c r="T496" s="46"/>
      <c r="U496" s="46"/>
    </row>
    <row r="497" spans="17:21">
      <c r="Q497" s="46"/>
      <c r="R497" s="46"/>
      <c r="S497" s="46"/>
      <c r="T497" s="46"/>
      <c r="U497" s="46"/>
    </row>
    <row r="498" spans="17:21">
      <c r="Q498" s="46"/>
      <c r="R498" s="46"/>
      <c r="S498" s="46"/>
      <c r="T498" s="46"/>
      <c r="U498" s="46"/>
    </row>
    <row r="499" spans="17:21">
      <c r="Q499" s="46"/>
      <c r="R499" s="46"/>
      <c r="S499" s="46"/>
      <c r="T499" s="46"/>
      <c r="U499" s="46"/>
    </row>
    <row r="500" spans="17:21">
      <c r="Q500" s="46"/>
      <c r="R500" s="46"/>
      <c r="S500" s="46"/>
      <c r="T500" s="46"/>
      <c r="U500" s="46"/>
    </row>
    <row r="501" spans="17:21">
      <c r="Q501" s="46"/>
      <c r="R501" s="46"/>
      <c r="S501" s="46"/>
      <c r="T501" s="46"/>
      <c r="U501" s="46"/>
    </row>
    <row r="502" spans="17:21">
      <c r="Q502" s="46"/>
      <c r="R502" s="46"/>
      <c r="S502" s="46"/>
      <c r="T502" s="46"/>
      <c r="U502" s="46"/>
    </row>
    <row r="503" spans="17:21">
      <c r="Q503" s="46"/>
      <c r="R503" s="46"/>
      <c r="S503" s="46"/>
      <c r="T503" s="46"/>
      <c r="U503" s="46"/>
    </row>
    <row r="504" spans="17:21">
      <c r="Q504" s="46"/>
      <c r="R504" s="46"/>
      <c r="S504" s="46"/>
      <c r="T504" s="46"/>
      <c r="U504" s="46"/>
    </row>
    <row r="505" spans="17:21">
      <c r="Q505" s="46"/>
      <c r="R505" s="46"/>
      <c r="S505" s="46"/>
      <c r="T505" s="46"/>
      <c r="U505" s="46"/>
    </row>
    <row r="506" spans="17:21">
      <c r="Q506" s="46"/>
      <c r="R506" s="46"/>
      <c r="S506" s="46"/>
      <c r="T506" s="46"/>
      <c r="U506" s="46"/>
    </row>
    <row r="507" spans="17:21">
      <c r="Q507" s="46"/>
      <c r="R507" s="46"/>
      <c r="S507" s="46"/>
      <c r="T507" s="46"/>
      <c r="U507" s="46"/>
    </row>
    <row r="508" spans="17:21">
      <c r="Q508" s="46"/>
      <c r="R508" s="46"/>
      <c r="S508" s="46"/>
      <c r="T508" s="46"/>
      <c r="U508" s="46"/>
    </row>
    <row r="509" spans="17:21">
      <c r="Q509" s="46"/>
      <c r="R509" s="46"/>
      <c r="S509" s="46"/>
      <c r="T509" s="46"/>
      <c r="U509" s="46"/>
    </row>
    <row r="510" spans="17:21">
      <c r="Q510" s="46"/>
      <c r="R510" s="46"/>
      <c r="S510" s="46"/>
      <c r="T510" s="46"/>
      <c r="U510" s="46"/>
    </row>
    <row r="511" spans="17:21">
      <c r="Q511" s="46"/>
      <c r="R511" s="46"/>
      <c r="S511" s="46"/>
      <c r="T511" s="46"/>
      <c r="U511" s="46"/>
    </row>
    <row r="512" spans="17:21">
      <c r="Q512" s="46"/>
      <c r="R512" s="46"/>
      <c r="S512" s="46"/>
      <c r="T512" s="46"/>
      <c r="U512" s="46"/>
    </row>
    <row r="513" spans="17:21">
      <c r="Q513" s="46"/>
      <c r="R513" s="46"/>
      <c r="S513" s="46"/>
      <c r="T513" s="46"/>
      <c r="U513" s="46"/>
    </row>
    <row r="514" spans="17:21">
      <c r="Q514" s="46"/>
      <c r="R514" s="46"/>
      <c r="S514" s="46"/>
      <c r="T514" s="46"/>
      <c r="U514" s="46"/>
    </row>
    <row r="515" spans="17:21">
      <c r="Q515" s="46"/>
      <c r="R515" s="46"/>
      <c r="S515" s="46"/>
      <c r="T515" s="46"/>
      <c r="U515" s="46"/>
    </row>
    <row r="516" spans="17:21">
      <c r="Q516" s="46"/>
      <c r="R516" s="46"/>
      <c r="S516" s="46"/>
      <c r="T516" s="46"/>
      <c r="U516" s="46"/>
    </row>
    <row r="517" spans="17:21">
      <c r="Q517" s="46"/>
      <c r="R517" s="46"/>
      <c r="S517" s="46"/>
      <c r="T517" s="46"/>
      <c r="U517" s="46"/>
    </row>
    <row r="518" spans="17:21">
      <c r="Q518" s="46"/>
      <c r="R518" s="46"/>
      <c r="S518" s="46"/>
      <c r="T518" s="46"/>
      <c r="U518" s="46"/>
    </row>
    <row r="519" spans="17:21">
      <c r="Q519" s="46"/>
      <c r="R519" s="46"/>
      <c r="S519" s="46"/>
      <c r="T519" s="46"/>
      <c r="U519" s="46"/>
    </row>
    <row r="520" spans="17:21">
      <c r="Q520" s="46"/>
      <c r="R520" s="46"/>
      <c r="S520" s="46"/>
      <c r="T520" s="46"/>
      <c r="U520" s="4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2"/>
  <sheetViews>
    <sheetView zoomScale="80" zoomScaleNormal="80" workbookViewId="0">
      <selection activeCell="E6" sqref="E6"/>
    </sheetView>
  </sheetViews>
  <sheetFormatPr defaultRowHeight="14.5"/>
  <cols>
    <col min="3" max="3" width="30.453125" customWidth="1"/>
    <col min="4" max="4" width="37" customWidth="1"/>
    <col min="5" max="5" width="25.1796875" customWidth="1"/>
    <col min="6" max="6" width="11.453125" customWidth="1"/>
    <col min="7" max="7" width="11.26953125" customWidth="1"/>
    <col min="8" max="8" width="13.26953125" customWidth="1"/>
    <col min="9" max="9" width="17" customWidth="1"/>
    <col min="10" max="10" width="19.81640625" customWidth="1"/>
    <col min="11" max="11" width="16.81640625" customWidth="1"/>
    <col min="12" max="12" width="11.54296875" customWidth="1"/>
    <col min="13" max="13" width="12.453125" customWidth="1"/>
  </cols>
  <sheetData>
    <row r="1" spans="1:16">
      <c r="A1" s="46"/>
      <c r="B1" s="7"/>
      <c r="C1" s="8"/>
      <c r="D1" s="8"/>
      <c r="E1" s="8"/>
      <c r="F1" s="8"/>
      <c r="G1" s="8"/>
      <c r="H1" s="8"/>
      <c r="I1" s="8"/>
      <c r="J1" s="8"/>
      <c r="K1" s="8"/>
      <c r="L1" s="8"/>
      <c r="M1" s="9"/>
      <c r="N1" s="11"/>
      <c r="O1" s="11"/>
      <c r="P1" s="46"/>
    </row>
    <row r="2" spans="1:16" s="40" customFormat="1">
      <c r="A2" s="46"/>
      <c r="B2" s="10"/>
      <c r="C2" s="11"/>
      <c r="D2" s="11"/>
      <c r="E2" s="11"/>
      <c r="F2" s="11" t="s">
        <v>2</v>
      </c>
      <c r="G2" s="11"/>
      <c r="H2" s="45"/>
      <c r="I2" s="11"/>
      <c r="J2" s="11"/>
      <c r="K2" s="11"/>
      <c r="L2" s="11"/>
      <c r="M2" s="12"/>
      <c r="N2" s="11"/>
      <c r="O2" s="11"/>
      <c r="P2" s="46"/>
    </row>
    <row r="3" spans="1:16" s="40" customFormat="1">
      <c r="A3" s="46"/>
      <c r="B3" s="10"/>
      <c r="C3" s="11"/>
      <c r="D3" s="11"/>
      <c r="E3" s="11"/>
      <c r="F3" s="11" t="s">
        <v>4</v>
      </c>
      <c r="G3" s="11"/>
      <c r="H3" s="45"/>
      <c r="I3" s="11"/>
      <c r="J3" s="11"/>
      <c r="K3" s="11"/>
      <c r="L3" s="11"/>
      <c r="M3" s="12"/>
      <c r="N3" s="11"/>
      <c r="O3" s="11"/>
      <c r="P3" s="46"/>
    </row>
    <row r="4" spans="1:16" s="40" customFormat="1">
      <c r="A4" s="46"/>
      <c r="B4" s="10"/>
      <c r="C4" s="11"/>
      <c r="D4" s="11"/>
      <c r="E4" s="11"/>
      <c r="F4" s="11"/>
      <c r="G4" s="11"/>
      <c r="H4" s="11"/>
      <c r="I4" s="11"/>
      <c r="J4" s="11"/>
      <c r="K4" s="11"/>
      <c r="L4" s="11"/>
      <c r="M4" s="12"/>
      <c r="N4" s="11"/>
      <c r="O4" s="11"/>
      <c r="P4" s="46"/>
    </row>
    <row r="5" spans="1:16" s="40" customFormat="1">
      <c r="A5" s="46"/>
      <c r="B5" s="10"/>
      <c r="C5" s="11"/>
      <c r="D5" s="11"/>
      <c r="E5" s="11"/>
      <c r="F5" s="11"/>
      <c r="G5" s="11"/>
      <c r="H5" s="11"/>
      <c r="I5" s="11"/>
      <c r="J5" s="11"/>
      <c r="K5" s="11"/>
      <c r="L5" s="11"/>
      <c r="M5" s="12"/>
      <c r="N5" s="11"/>
      <c r="O5" s="11"/>
      <c r="P5" s="46"/>
    </row>
    <row r="6" spans="1:16" s="40" customFormat="1">
      <c r="A6" s="46"/>
      <c r="B6" s="10"/>
      <c r="C6" s="13" t="s">
        <v>0</v>
      </c>
      <c r="D6" s="11"/>
      <c r="E6" s="731" t="s">
        <v>559</v>
      </c>
      <c r="F6" s="730" t="s">
        <v>896</v>
      </c>
      <c r="G6" s="153"/>
      <c r="H6" s="45"/>
      <c r="I6" s="11"/>
      <c r="J6" s="14" t="s">
        <v>5</v>
      </c>
      <c r="K6" s="15">
        <f>'Program Overview'!K6</f>
        <v>7</v>
      </c>
      <c r="L6" s="16">
        <f>'Program Overview'!M6</f>
        <v>43752</v>
      </c>
      <c r="M6" s="312"/>
      <c r="N6" s="11"/>
      <c r="O6" s="11"/>
      <c r="P6" s="46"/>
    </row>
    <row r="7" spans="1:16" s="40" customFormat="1">
      <c r="A7" s="46"/>
      <c r="B7" s="10"/>
      <c r="C7" s="13" t="s">
        <v>1</v>
      </c>
      <c r="D7" s="11"/>
      <c r="E7" s="11"/>
      <c r="F7" s="46"/>
      <c r="G7" s="46"/>
      <c r="H7" s="57"/>
      <c r="I7" s="11"/>
      <c r="J7" s="11"/>
      <c r="K7" s="11"/>
      <c r="L7" s="11"/>
      <c r="M7" s="12"/>
      <c r="N7" s="11"/>
      <c r="O7" s="11"/>
      <c r="P7" s="46"/>
    </row>
    <row r="8" spans="1:16" s="40" customFormat="1">
      <c r="A8" s="46"/>
      <c r="B8" s="17"/>
      <c r="C8" s="18"/>
      <c r="D8" s="18"/>
      <c r="E8" s="18"/>
      <c r="F8" s="18"/>
      <c r="G8" s="18"/>
      <c r="H8" s="18"/>
      <c r="I8" s="18"/>
      <c r="J8" s="18"/>
      <c r="K8" s="18"/>
      <c r="L8" s="18"/>
      <c r="M8" s="19"/>
      <c r="N8" s="11"/>
      <c r="O8" s="11"/>
      <c r="P8" s="46"/>
    </row>
    <row r="9" spans="1:16" s="40" customFormat="1" ht="25" customHeight="1">
      <c r="A9" s="46"/>
      <c r="B9" s="37"/>
      <c r="C9" s="416" t="s">
        <v>750</v>
      </c>
      <c r="D9" s="59"/>
      <c r="E9" s="59"/>
      <c r="F9" s="59"/>
      <c r="G9" s="59"/>
      <c r="H9" s="59"/>
      <c r="I9" s="59"/>
      <c r="J9" s="59"/>
      <c r="K9" s="59"/>
      <c r="L9" s="59"/>
      <c r="M9" s="227"/>
      <c r="N9" s="226"/>
      <c r="O9" s="226"/>
      <c r="P9" s="46"/>
    </row>
    <row r="10" spans="1:16" s="40" customFormat="1">
      <c r="A10" s="46"/>
      <c r="B10" s="38"/>
      <c r="C10" s="60"/>
      <c r="D10" s="60"/>
      <c r="E10" s="60"/>
      <c r="F10" s="60"/>
      <c r="G10" s="60"/>
      <c r="H10" s="60"/>
      <c r="I10" s="60"/>
      <c r="J10" s="60"/>
      <c r="K10" s="60"/>
      <c r="L10" s="60"/>
      <c r="M10" s="228"/>
      <c r="N10" s="226"/>
      <c r="O10" s="226"/>
      <c r="P10" s="46"/>
    </row>
    <row r="11" spans="1:16">
      <c r="A11" s="46"/>
      <c r="B11" s="46"/>
      <c r="C11" s="46"/>
      <c r="D11" s="46"/>
      <c r="E11" s="46"/>
      <c r="F11" s="46"/>
      <c r="G11" s="46"/>
      <c r="H11" s="46"/>
      <c r="I11" s="46"/>
      <c r="J11" s="46"/>
      <c r="K11" s="46"/>
      <c r="L11" s="46"/>
      <c r="M11" s="46"/>
      <c r="N11" s="46"/>
      <c r="O11" s="46"/>
      <c r="P11" s="46"/>
    </row>
    <row r="12" spans="1:16">
      <c r="A12" s="46"/>
      <c r="B12" s="168" t="s">
        <v>6</v>
      </c>
      <c r="C12" s="46" t="s">
        <v>7</v>
      </c>
      <c r="D12" s="46" t="s">
        <v>415</v>
      </c>
      <c r="E12" s="46"/>
      <c r="F12" s="46"/>
      <c r="G12" s="46"/>
      <c r="H12" s="46"/>
      <c r="I12" s="46"/>
      <c r="J12" s="46"/>
      <c r="K12" s="46"/>
      <c r="L12" s="46"/>
      <c r="M12" s="46"/>
      <c r="N12" s="46"/>
      <c r="O12" s="46"/>
      <c r="P12" s="46"/>
    </row>
    <row r="13" spans="1:16">
      <c r="A13" s="46"/>
      <c r="B13" s="46"/>
      <c r="C13" s="46"/>
      <c r="D13" s="46"/>
      <c r="E13" s="46"/>
      <c r="F13" s="46"/>
      <c r="G13" s="46"/>
      <c r="H13" s="46"/>
      <c r="I13" s="46"/>
      <c r="J13" s="46"/>
      <c r="K13" s="46"/>
      <c r="L13" s="46"/>
      <c r="M13" s="46"/>
      <c r="N13" s="46"/>
      <c r="O13" s="46"/>
      <c r="P13" s="46"/>
    </row>
    <row r="14" spans="1:16">
      <c r="A14" s="46"/>
      <c r="B14" s="168" t="s">
        <v>8</v>
      </c>
      <c r="C14" s="46"/>
      <c r="D14" s="46"/>
      <c r="E14" s="46"/>
      <c r="F14" s="46"/>
      <c r="G14" s="46"/>
      <c r="H14" s="46"/>
      <c r="I14" s="46"/>
      <c r="J14" s="46"/>
      <c r="K14" s="46"/>
      <c r="L14" s="46"/>
      <c r="M14" s="46"/>
      <c r="N14" s="46"/>
      <c r="O14" s="46"/>
      <c r="P14" s="46"/>
    </row>
    <row r="15" spans="1:16">
      <c r="A15" s="46"/>
      <c r="B15" s="46"/>
      <c r="C15" s="46"/>
      <c r="D15" s="46"/>
      <c r="E15" s="46"/>
      <c r="F15" s="46"/>
      <c r="G15" s="46"/>
      <c r="H15" s="46"/>
      <c r="I15" s="46"/>
      <c r="J15" s="46"/>
      <c r="K15" s="46"/>
      <c r="L15" s="46"/>
      <c r="M15" s="46"/>
      <c r="N15" s="46"/>
      <c r="O15" s="46"/>
      <c r="P15" s="46"/>
    </row>
    <row r="16" spans="1:16" ht="14.5" customHeight="1">
      <c r="A16" s="46"/>
      <c r="B16" s="407"/>
      <c r="C16" s="413"/>
      <c r="D16" s="406" t="s">
        <v>35</v>
      </c>
      <c r="E16" s="406"/>
      <c r="F16" s="413"/>
      <c r="G16" s="413"/>
      <c r="H16" s="415"/>
      <c r="I16" s="411"/>
      <c r="J16" s="411" t="s">
        <v>40</v>
      </c>
      <c r="K16" s="409"/>
      <c r="L16" s="46"/>
      <c r="M16" s="46"/>
      <c r="N16" s="46"/>
      <c r="O16" s="46"/>
      <c r="P16" s="46"/>
    </row>
    <row r="17" spans="1:16" ht="47" customHeight="1">
      <c r="A17" s="46"/>
      <c r="B17" s="414" t="s">
        <v>32</v>
      </c>
      <c r="C17" s="380" t="s">
        <v>34</v>
      </c>
      <c r="D17" s="405" t="s">
        <v>36</v>
      </c>
      <c r="E17" s="405" t="s">
        <v>37</v>
      </c>
      <c r="F17" s="380" t="s">
        <v>38</v>
      </c>
      <c r="G17" s="380" t="s">
        <v>39</v>
      </c>
      <c r="H17" s="380" t="s">
        <v>43</v>
      </c>
      <c r="I17" s="163" t="s">
        <v>414</v>
      </c>
      <c r="J17" s="164" t="s">
        <v>41</v>
      </c>
      <c r="K17" s="164" t="s">
        <v>42</v>
      </c>
      <c r="L17" s="46"/>
      <c r="M17" s="46"/>
      <c r="N17" s="46"/>
      <c r="O17" s="46"/>
      <c r="P17" s="46"/>
    </row>
    <row r="18" spans="1:16">
      <c r="A18" s="46"/>
      <c r="B18" s="216">
        <f>'Passby Data Set 1 Output'!E10</f>
        <v>1</v>
      </c>
      <c r="C18" s="221" t="str">
        <f>'Passby Data Set 1'!E10</f>
        <v>Korean HEMU-430X</v>
      </c>
      <c r="D18" s="221" t="str">
        <f>'Passby Data Set 1'!I12</f>
        <v>Hyundai Rotem</v>
      </c>
      <c r="E18" s="221" t="str">
        <f>'Passby Data Set 1'!I13</f>
        <v>Korail</v>
      </c>
      <c r="F18" s="222">
        <f>'Passby Data Set 1'!H21</f>
        <v>147.4</v>
      </c>
      <c r="G18" s="201">
        <f>'Passby Data Set 1'!H22</f>
        <v>400</v>
      </c>
      <c r="H18" s="222">
        <f>'Passby Data Set 1 Output'!D15</f>
        <v>1.3266000000000002</v>
      </c>
      <c r="I18" s="201">
        <f>'Passby Data Set 1'!H23</f>
        <v>2</v>
      </c>
      <c r="J18" s="201">
        <f>'Passby Data Set 1'!H24</f>
        <v>7.5</v>
      </c>
      <c r="K18" s="201">
        <f>'Passby Data Set 1'!H25</f>
        <v>3.5</v>
      </c>
      <c r="L18" s="46"/>
      <c r="M18" s="46"/>
      <c r="N18" s="46"/>
      <c r="O18" s="46"/>
      <c r="P18" s="46"/>
    </row>
    <row r="19" spans="1:16">
      <c r="A19" s="46"/>
      <c r="B19" s="201">
        <f>'Passby Data Set 2'!E9</f>
        <v>2</v>
      </c>
      <c r="C19" s="221" t="str">
        <f>'Passby Data Set 2'!E10</f>
        <v>Thalys PBKA</v>
      </c>
      <c r="D19" s="221" t="str">
        <f>'Passby Data Set 2'!I12</f>
        <v>GEC-Alsthom</v>
      </c>
      <c r="E19" s="221" t="str">
        <f>'Passby Data Set 2'!I13</f>
        <v>Thalys</v>
      </c>
      <c r="F19" s="222">
        <f>'Passby Data Set 2'!H21</f>
        <v>200.19</v>
      </c>
      <c r="G19" s="201">
        <f>'Passby Data Set 2'!H22</f>
        <v>296</v>
      </c>
      <c r="H19" s="222">
        <f>'Passby Data Set 2 Output'!D15</f>
        <v>2.434743243243243</v>
      </c>
      <c r="I19" s="201">
        <f>'Passby Data Set 2'!H23</f>
        <v>1</v>
      </c>
      <c r="J19" s="201">
        <f>'Passby Data Set 2'!H24</f>
        <v>7.5</v>
      </c>
      <c r="K19" s="201">
        <f>'Passby Data Set 2'!H25</f>
        <v>1.2</v>
      </c>
      <c r="L19" s="46"/>
      <c r="M19" s="46"/>
      <c r="N19" s="46"/>
      <c r="O19" s="46"/>
      <c r="P19" s="46"/>
    </row>
    <row r="20" spans="1:16">
      <c r="A20" s="46"/>
      <c r="B20" s="201">
        <f>'Passby Data Set 3'!E9</f>
        <v>3</v>
      </c>
      <c r="C20" s="221" t="str">
        <f>'Passby Data Set 3'!E10</f>
        <v>CRH3 Series (based on Siemens)</v>
      </c>
      <c r="D20" s="221" t="s">
        <v>390</v>
      </c>
      <c r="E20" s="221" t="s">
        <v>391</v>
      </c>
      <c r="F20" s="222">
        <f>'Passby Data Set 3'!H21</f>
        <v>200</v>
      </c>
      <c r="G20" s="201">
        <f>'Passby Data Set 3'!H22</f>
        <v>271</v>
      </c>
      <c r="H20" s="222">
        <f>'Passby Data Set 3 Output'!D15</f>
        <v>2.6568265682656831</v>
      </c>
      <c r="I20" s="201">
        <f>'Passby Data Set 3'!H23</f>
        <v>2</v>
      </c>
      <c r="J20" s="201">
        <f>'Passby Data Set 3'!H24</f>
        <v>7.5</v>
      </c>
      <c r="K20" s="201">
        <f>'Passby Data Set 3'!H25</f>
        <v>3.5</v>
      </c>
      <c r="L20" s="46"/>
      <c r="M20" s="46"/>
      <c r="N20" s="46"/>
      <c r="O20" s="46"/>
      <c r="P20" s="46"/>
    </row>
    <row r="21" spans="1:16">
      <c r="A21" s="46"/>
      <c r="B21" s="175">
        <f>'Passby Data Set 4'!E9</f>
        <v>4</v>
      </c>
      <c r="C21" s="223" t="str">
        <f>C20</f>
        <v>CRH3 Series (based on Siemens)</v>
      </c>
      <c r="D21" s="223" t="s">
        <v>390</v>
      </c>
      <c r="E21" s="223" t="s">
        <v>391</v>
      </c>
      <c r="F21" s="214">
        <f>F20</f>
        <v>200</v>
      </c>
      <c r="G21" s="175">
        <f>G20</f>
        <v>271</v>
      </c>
      <c r="H21" s="214">
        <f>H20</f>
        <v>2.6568265682656831</v>
      </c>
      <c r="I21" s="175">
        <f>'Passby Data Set 4'!H23</f>
        <v>1</v>
      </c>
      <c r="J21" s="175">
        <f>'Passby Data Set 4'!H24</f>
        <v>7.5</v>
      </c>
      <c r="K21" s="175">
        <f>'Passby Data Set 4'!H25</f>
        <v>1.5</v>
      </c>
      <c r="L21" s="46"/>
      <c r="M21" s="46"/>
      <c r="N21" s="46"/>
      <c r="O21" s="46"/>
      <c r="P21" s="46"/>
    </row>
    <row r="22" spans="1:16">
      <c r="A22" s="46"/>
      <c r="B22" s="175">
        <f>'Passby Data Set 5'!E9</f>
        <v>5</v>
      </c>
      <c r="C22" s="229" t="str">
        <f>C20</f>
        <v>CRH3 Series (based on Siemens)</v>
      </c>
      <c r="D22" s="229" t="s">
        <v>390</v>
      </c>
      <c r="E22" s="229" t="s">
        <v>391</v>
      </c>
      <c r="F22" s="230">
        <f>F20</f>
        <v>200</v>
      </c>
      <c r="G22" s="231">
        <f>G20</f>
        <v>271</v>
      </c>
      <c r="H22" s="230">
        <f>H20</f>
        <v>2.6568265682656831</v>
      </c>
      <c r="I22" s="175">
        <f>'Passby Data Set 5'!H23</f>
        <v>3</v>
      </c>
      <c r="J22" s="175">
        <f>'Passby Data Set 5'!H24</f>
        <v>25</v>
      </c>
      <c r="K22" s="175">
        <f>'Passby Data Set 5'!H25</f>
        <v>3.5</v>
      </c>
      <c r="L22" s="46"/>
      <c r="M22" s="46"/>
      <c r="N22" s="46"/>
      <c r="O22" s="46"/>
      <c r="P22" s="46"/>
    </row>
    <row r="23" spans="1:16">
      <c r="A23" s="46"/>
      <c r="B23" s="82"/>
      <c r="C23" s="224"/>
      <c r="D23" s="224"/>
      <c r="E23" s="224"/>
      <c r="F23" s="84"/>
      <c r="G23" s="82"/>
      <c r="H23" s="84"/>
      <c r="I23" s="82"/>
      <c r="J23" s="82"/>
      <c r="K23" s="82"/>
      <c r="L23" s="46"/>
      <c r="M23" s="46"/>
      <c r="N23" s="46"/>
      <c r="O23" s="46"/>
      <c r="P23" s="46"/>
    </row>
    <row r="24" spans="1:16">
      <c r="A24" s="46"/>
      <c r="B24" s="82"/>
      <c r="C24" s="224"/>
      <c r="D24" s="224"/>
      <c r="E24" s="224"/>
      <c r="F24" s="84"/>
      <c r="G24" s="82"/>
      <c r="H24" s="84"/>
      <c r="I24" s="82"/>
      <c r="J24" s="82"/>
      <c r="K24" s="82"/>
      <c r="L24" s="46"/>
      <c r="M24" s="46"/>
      <c r="N24" s="46"/>
      <c r="O24" s="46"/>
      <c r="P24" s="46"/>
    </row>
    <row r="25" spans="1:16">
      <c r="A25" s="46"/>
      <c r="B25" s="82"/>
      <c r="C25" s="224"/>
      <c r="D25" s="224"/>
      <c r="E25" s="224"/>
      <c r="F25" s="84"/>
      <c r="G25" s="82"/>
      <c r="H25" s="84"/>
      <c r="I25" s="82"/>
      <c r="J25" s="82"/>
      <c r="K25" s="82"/>
      <c r="L25" s="46"/>
      <c r="M25" s="46"/>
      <c r="N25" s="46"/>
      <c r="O25" s="46"/>
      <c r="P25" s="46"/>
    </row>
    <row r="26" spans="1:16">
      <c r="A26" s="46"/>
      <c r="B26" s="82"/>
      <c r="C26" s="224"/>
      <c r="D26" s="224"/>
      <c r="E26" s="224"/>
      <c r="F26" s="84"/>
      <c r="G26" s="82"/>
      <c r="H26" s="84"/>
      <c r="I26" s="82"/>
      <c r="J26" s="82"/>
      <c r="K26" s="82"/>
      <c r="L26" s="46"/>
      <c r="M26" s="46"/>
      <c r="N26" s="46"/>
      <c r="O26" s="46"/>
      <c r="P26" s="46"/>
    </row>
    <row r="27" spans="1:16">
      <c r="A27" s="46"/>
      <c r="B27" s="82"/>
      <c r="C27" s="224"/>
      <c r="D27" s="224"/>
      <c r="E27" s="224"/>
      <c r="F27" s="84"/>
      <c r="G27" s="82"/>
      <c r="H27" s="84"/>
      <c r="I27" s="82"/>
      <c r="J27" s="82"/>
      <c r="K27" s="82"/>
      <c r="L27" s="46"/>
      <c r="M27" s="46"/>
      <c r="N27" s="46"/>
      <c r="O27" s="46"/>
      <c r="P27" s="46"/>
    </row>
    <row r="28" spans="1:16">
      <c r="A28" s="46"/>
      <c r="B28" s="82"/>
      <c r="C28" s="224"/>
      <c r="D28" s="224"/>
      <c r="E28" s="224"/>
      <c r="F28" s="84"/>
      <c r="G28" s="82"/>
      <c r="H28" s="84"/>
      <c r="I28" s="82"/>
      <c r="J28" s="82"/>
      <c r="K28" s="82"/>
      <c r="L28" s="46"/>
      <c r="M28" s="46"/>
      <c r="N28" s="46"/>
      <c r="O28" s="46"/>
      <c r="P28" s="46"/>
    </row>
    <row r="29" spans="1:16">
      <c r="A29" s="46"/>
      <c r="B29" s="82"/>
      <c r="C29" s="224"/>
      <c r="D29" s="224"/>
      <c r="E29" s="224"/>
      <c r="F29" s="84"/>
      <c r="G29" s="82"/>
      <c r="H29" s="84"/>
      <c r="I29" s="82"/>
      <c r="J29" s="82"/>
      <c r="K29" s="82"/>
      <c r="L29" s="46"/>
      <c r="M29" s="46"/>
      <c r="N29" s="46"/>
      <c r="O29" s="46"/>
      <c r="P29" s="46"/>
    </row>
    <row r="30" spans="1:16">
      <c r="A30" s="46"/>
      <c r="B30" s="82"/>
      <c r="C30" s="224"/>
      <c r="D30" s="224"/>
      <c r="E30" s="224"/>
      <c r="F30" s="84"/>
      <c r="G30" s="82"/>
      <c r="H30" s="84"/>
      <c r="I30" s="82"/>
      <c r="J30" s="82"/>
      <c r="K30" s="82"/>
      <c r="L30" s="46"/>
      <c r="M30" s="46"/>
      <c r="N30" s="46"/>
      <c r="O30" s="46"/>
      <c r="P30" s="46"/>
    </row>
    <row r="31" spans="1:16">
      <c r="A31" s="46"/>
      <c r="B31" s="82"/>
      <c r="C31" s="224"/>
      <c r="D31" s="224"/>
      <c r="E31" s="224"/>
      <c r="F31" s="84"/>
      <c r="G31" s="82"/>
      <c r="H31" s="84"/>
      <c r="I31" s="82"/>
      <c r="J31" s="82"/>
      <c r="K31" s="82"/>
      <c r="L31" s="46"/>
      <c r="M31" s="46"/>
      <c r="N31" s="46"/>
      <c r="O31" s="46"/>
      <c r="P31" s="46"/>
    </row>
    <row r="32" spans="1:16">
      <c r="A32" s="46"/>
      <c r="B32" s="82"/>
      <c r="C32" s="224"/>
      <c r="D32" s="224"/>
      <c r="E32" s="224"/>
      <c r="F32" s="84"/>
      <c r="G32" s="82"/>
      <c r="H32" s="84"/>
      <c r="I32" s="82"/>
      <c r="J32" s="82"/>
      <c r="K32" s="82"/>
      <c r="L32" s="46"/>
      <c r="M32" s="46"/>
      <c r="N32" s="46"/>
      <c r="O32" s="46"/>
      <c r="P32" s="46"/>
    </row>
    <row r="33" spans="1:16">
      <c r="A33" s="46"/>
      <c r="B33" s="82"/>
      <c r="C33" s="224"/>
      <c r="D33" s="224"/>
      <c r="E33" s="224"/>
      <c r="F33" s="84"/>
      <c r="G33" s="82"/>
      <c r="H33" s="84"/>
      <c r="I33" s="82"/>
      <c r="J33" s="82"/>
      <c r="K33" s="82"/>
      <c r="L33" s="46"/>
      <c r="M33" s="46"/>
      <c r="N33" s="46"/>
      <c r="O33" s="46"/>
      <c r="P33" s="46"/>
    </row>
    <row r="34" spans="1:16">
      <c r="A34" s="46"/>
      <c r="B34" s="82"/>
      <c r="C34" s="224"/>
      <c r="D34" s="224"/>
      <c r="E34" s="224"/>
      <c r="F34" s="84"/>
      <c r="G34" s="82"/>
      <c r="H34" s="84"/>
      <c r="I34" s="82"/>
      <c r="J34" s="82"/>
      <c r="K34" s="82"/>
      <c r="L34" s="46"/>
      <c r="M34" s="46"/>
      <c r="N34" s="46"/>
      <c r="O34" s="46"/>
      <c r="P34" s="46"/>
    </row>
    <row r="35" spans="1:16">
      <c r="A35" s="46"/>
      <c r="B35" s="82"/>
      <c r="C35" s="224"/>
      <c r="D35" s="224"/>
      <c r="E35" s="224"/>
      <c r="F35" s="84"/>
      <c r="G35" s="82"/>
      <c r="H35" s="84"/>
      <c r="I35" s="82"/>
      <c r="J35" s="82"/>
      <c r="K35" s="82"/>
      <c r="L35" s="46"/>
      <c r="M35" s="46"/>
      <c r="N35" s="46"/>
      <c r="O35" s="46"/>
      <c r="P35" s="46"/>
    </row>
    <row r="36" spans="1:16">
      <c r="A36" s="46"/>
      <c r="B36" s="82"/>
      <c r="C36" s="224"/>
      <c r="D36" s="224"/>
      <c r="E36" s="224"/>
      <c r="F36" s="82"/>
      <c r="G36" s="82"/>
      <c r="H36" s="84"/>
      <c r="I36" s="82"/>
      <c r="J36" s="82"/>
      <c r="K36" s="82"/>
      <c r="L36" s="46"/>
      <c r="M36" s="46"/>
      <c r="N36" s="46"/>
      <c r="O36" s="46"/>
      <c r="P36" s="46"/>
    </row>
    <row r="37" spans="1:16">
      <c r="A37" s="46"/>
      <c r="B37" s="82"/>
      <c r="C37" s="224"/>
      <c r="D37" s="224"/>
      <c r="E37" s="224"/>
      <c r="F37" s="82"/>
      <c r="G37" s="82"/>
      <c r="H37" s="84"/>
      <c r="I37" s="82"/>
      <c r="J37" s="82"/>
      <c r="K37" s="82"/>
      <c r="L37" s="46"/>
      <c r="M37" s="46"/>
      <c r="N37" s="46"/>
      <c r="O37" s="46"/>
      <c r="P37" s="46"/>
    </row>
    <row r="38" spans="1:16">
      <c r="A38" s="46"/>
      <c r="B38" s="82"/>
      <c r="C38" s="224"/>
      <c r="D38" s="224"/>
      <c r="E38" s="224"/>
      <c r="F38" s="82"/>
      <c r="G38" s="82"/>
      <c r="H38" s="84"/>
      <c r="I38" s="82"/>
      <c r="J38" s="82"/>
      <c r="K38" s="82"/>
      <c r="L38" s="46"/>
      <c r="M38" s="46"/>
      <c r="N38" s="46"/>
      <c r="O38" s="46"/>
      <c r="P38" s="46"/>
    </row>
    <row r="39" spans="1:16">
      <c r="A39" s="46"/>
      <c r="B39" s="82"/>
      <c r="C39" s="224"/>
      <c r="D39" s="224"/>
      <c r="E39" s="224"/>
      <c r="F39" s="82"/>
      <c r="G39" s="82"/>
      <c r="H39" s="84"/>
      <c r="I39" s="82"/>
      <c r="J39" s="82"/>
      <c r="K39" s="82"/>
      <c r="L39" s="46"/>
      <c r="M39" s="46"/>
      <c r="N39" s="46"/>
      <c r="O39" s="46"/>
      <c r="P39" s="46"/>
    </row>
    <row r="40" spans="1:16">
      <c r="A40" s="46"/>
      <c r="B40" s="82"/>
      <c r="C40" s="224"/>
      <c r="D40" s="224"/>
      <c r="E40" s="224"/>
      <c r="F40" s="82"/>
      <c r="G40" s="82"/>
      <c r="H40" s="84"/>
      <c r="I40" s="82"/>
      <c r="J40" s="82"/>
      <c r="K40" s="82"/>
      <c r="L40" s="46"/>
      <c r="M40" s="46"/>
      <c r="N40" s="46"/>
      <c r="O40" s="46"/>
      <c r="P40" s="46"/>
    </row>
    <row r="41" spans="1:16">
      <c r="A41" s="46"/>
      <c r="B41" s="46"/>
      <c r="C41" s="46"/>
      <c r="D41" s="46"/>
      <c r="E41" s="46"/>
      <c r="F41" s="46"/>
      <c r="G41" s="46"/>
      <c r="H41" s="225"/>
      <c r="I41" s="46"/>
      <c r="J41" s="46"/>
      <c r="K41" s="46"/>
      <c r="L41" s="46"/>
      <c r="M41" s="46"/>
      <c r="N41" s="46"/>
      <c r="O41" s="46"/>
      <c r="P41" s="46"/>
    </row>
    <row r="42" spans="1:16">
      <c r="A42" s="46"/>
      <c r="B42" s="46"/>
      <c r="C42" s="46"/>
      <c r="D42" s="46"/>
      <c r="E42" s="46"/>
      <c r="F42" s="46"/>
      <c r="G42" s="46"/>
      <c r="H42" s="225"/>
      <c r="I42" s="46"/>
      <c r="J42" s="46"/>
      <c r="K42" s="46"/>
      <c r="L42" s="46"/>
      <c r="M42" s="46"/>
      <c r="N42" s="46"/>
      <c r="O42" s="46"/>
      <c r="P42" s="4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5"/>
  <sheetViews>
    <sheetView zoomScale="90" zoomScaleNormal="90" workbookViewId="0">
      <selection activeCell="K6" sqref="K6"/>
    </sheetView>
  </sheetViews>
  <sheetFormatPr defaultRowHeight="14.5"/>
  <cols>
    <col min="5" max="5" width="17.54296875" customWidth="1"/>
    <col min="6" max="6" width="13.54296875" customWidth="1"/>
    <col min="7" max="7" width="13.81640625" customWidth="1"/>
    <col min="9" max="9" width="14.1796875" customWidth="1"/>
    <col min="10" max="10" width="8.7265625" customWidth="1"/>
    <col min="11" max="11" width="19.90625" customWidth="1"/>
    <col min="12" max="12" width="13.54296875" customWidth="1"/>
    <col min="15" max="15" width="13.54296875" customWidth="1"/>
    <col min="16" max="16" width="20" customWidth="1"/>
    <col min="18" max="18" width="11.54296875" customWidth="1"/>
    <col min="21" max="21" width="11.453125" customWidth="1"/>
  </cols>
  <sheetData>
    <row r="1" spans="1:26">
      <c r="A1" s="46"/>
      <c r="B1" s="7"/>
      <c r="C1" s="8"/>
      <c r="D1" s="8"/>
      <c r="E1" s="8"/>
      <c r="F1" s="8"/>
      <c r="G1" s="8"/>
      <c r="H1" s="8"/>
      <c r="I1" s="8"/>
      <c r="J1" s="8"/>
      <c r="K1" s="8"/>
      <c r="L1" s="8"/>
      <c r="M1" s="8"/>
      <c r="N1" s="8"/>
      <c r="O1" s="8"/>
      <c r="P1" s="8"/>
      <c r="Q1" s="8"/>
      <c r="R1" s="8"/>
      <c r="S1" s="8"/>
      <c r="T1" s="9"/>
      <c r="U1" s="46"/>
      <c r="V1" s="46"/>
      <c r="W1" s="46"/>
      <c r="X1" s="46"/>
      <c r="Y1" s="46"/>
      <c r="Z1" s="46"/>
    </row>
    <row r="2" spans="1:26">
      <c r="A2" s="46"/>
      <c r="B2" s="10"/>
      <c r="C2" s="11"/>
      <c r="D2" s="11"/>
      <c r="E2" s="11"/>
      <c r="F2" s="11"/>
      <c r="G2" s="11"/>
      <c r="H2" s="11"/>
      <c r="I2" s="11"/>
      <c r="J2" s="11"/>
      <c r="K2" s="11" t="s">
        <v>2</v>
      </c>
      <c r="L2" s="11"/>
      <c r="M2" s="11"/>
      <c r="N2" s="11"/>
      <c r="O2" s="11"/>
      <c r="P2" s="11"/>
      <c r="Q2" s="11"/>
      <c r="R2" s="11"/>
      <c r="S2" s="11"/>
      <c r="T2" s="12"/>
      <c r="U2" s="46"/>
      <c r="V2" s="46"/>
      <c r="W2" s="46"/>
      <c r="X2" s="46"/>
      <c r="Y2" s="46"/>
      <c r="Z2" s="46"/>
    </row>
    <row r="3" spans="1:26">
      <c r="A3" s="46"/>
      <c r="B3" s="10"/>
      <c r="C3" s="11"/>
      <c r="D3" s="11"/>
      <c r="E3" s="11"/>
      <c r="F3" s="11"/>
      <c r="G3" s="11"/>
      <c r="H3" s="11"/>
      <c r="I3" s="11"/>
      <c r="J3" s="11"/>
      <c r="K3" s="11" t="s">
        <v>4</v>
      </c>
      <c r="L3" s="11"/>
      <c r="M3" s="11"/>
      <c r="N3" s="11"/>
      <c r="O3" s="11"/>
      <c r="P3" s="11"/>
      <c r="Q3" s="11"/>
      <c r="R3" s="11"/>
      <c r="S3" s="11"/>
      <c r="T3" s="12"/>
      <c r="U3" s="46"/>
      <c r="V3" s="46"/>
      <c r="W3" s="46"/>
      <c r="X3" s="46"/>
      <c r="Y3" s="46"/>
      <c r="Z3" s="46"/>
    </row>
    <row r="4" spans="1:26">
      <c r="A4" s="46"/>
      <c r="B4" s="10"/>
      <c r="C4" s="11"/>
      <c r="D4" s="11"/>
      <c r="E4" s="11"/>
      <c r="F4" s="11"/>
      <c r="G4" s="11"/>
      <c r="H4" s="11"/>
      <c r="I4" s="11"/>
      <c r="J4" s="11"/>
      <c r="K4" s="11"/>
      <c r="L4" s="11"/>
      <c r="M4" s="11"/>
      <c r="N4" s="11"/>
      <c r="O4" s="11"/>
      <c r="P4" s="11"/>
      <c r="Q4" s="11"/>
      <c r="R4" s="11"/>
      <c r="S4" s="11"/>
      <c r="T4" s="12"/>
      <c r="U4" s="46"/>
      <c r="V4" s="46"/>
      <c r="W4" s="46"/>
      <c r="X4" s="46"/>
      <c r="Y4" s="46"/>
      <c r="Z4" s="46"/>
    </row>
    <row r="5" spans="1:26">
      <c r="A5" s="46"/>
      <c r="B5" s="10"/>
      <c r="C5" s="11"/>
      <c r="D5" s="13" t="s">
        <v>0</v>
      </c>
      <c r="E5" s="11"/>
      <c r="F5" s="11"/>
      <c r="G5" s="11"/>
      <c r="H5" s="11"/>
      <c r="I5" s="11"/>
      <c r="J5" s="11"/>
      <c r="K5" s="11"/>
      <c r="L5" s="11"/>
      <c r="M5" s="11"/>
      <c r="N5" s="11"/>
      <c r="O5" s="11"/>
      <c r="P5" s="11"/>
      <c r="Q5" s="11"/>
      <c r="R5" s="11"/>
      <c r="S5" s="11"/>
      <c r="T5" s="12"/>
      <c r="U5" s="46"/>
      <c r="V5" s="46"/>
      <c r="W5" s="46"/>
      <c r="X5" s="46"/>
      <c r="Y5" s="46"/>
      <c r="Z5" s="46"/>
    </row>
    <row r="6" spans="1:26">
      <c r="A6" s="46"/>
      <c r="B6" s="10"/>
      <c r="C6" s="11"/>
      <c r="D6" s="13" t="s">
        <v>1</v>
      </c>
      <c r="E6" s="11"/>
      <c r="F6" s="11"/>
      <c r="G6" s="11"/>
      <c r="H6" s="11"/>
      <c r="I6" s="732" t="s">
        <v>559</v>
      </c>
      <c r="K6" s="153" t="s">
        <v>897</v>
      </c>
      <c r="L6" s="11"/>
      <c r="M6" s="11"/>
      <c r="N6" s="11"/>
      <c r="O6" s="14" t="s">
        <v>5</v>
      </c>
      <c r="P6" s="15">
        <f>'Program Index &amp; Flow Chart'!F4</f>
        <v>7</v>
      </c>
      <c r="Q6" s="11"/>
      <c r="R6" s="16">
        <f>'Program Index &amp; Flow Chart'!G4</f>
        <v>43752</v>
      </c>
      <c r="S6" s="11"/>
      <c r="T6" s="12"/>
      <c r="U6" s="46"/>
      <c r="V6" s="46"/>
      <c r="W6" s="46"/>
      <c r="X6" s="46"/>
      <c r="Y6" s="46"/>
      <c r="Z6" s="46"/>
    </row>
    <row r="7" spans="1:26">
      <c r="A7" s="46"/>
      <c r="B7" s="10"/>
      <c r="C7" s="11"/>
      <c r="D7" s="11"/>
      <c r="E7" s="11"/>
      <c r="F7" s="11"/>
      <c r="G7" s="11"/>
      <c r="H7" s="11"/>
      <c r="I7" s="11"/>
      <c r="J7" s="11"/>
      <c r="K7" s="11"/>
      <c r="L7" s="11"/>
      <c r="M7" s="11"/>
      <c r="N7" s="11"/>
      <c r="O7" s="11"/>
      <c r="P7" s="11"/>
      <c r="Q7" s="11"/>
      <c r="R7" s="11"/>
      <c r="S7" s="11"/>
      <c r="T7" s="12"/>
      <c r="U7" s="46"/>
      <c r="V7" s="46"/>
      <c r="W7" s="46"/>
      <c r="X7" s="46"/>
      <c r="Y7" s="46"/>
      <c r="Z7" s="46"/>
    </row>
    <row r="8" spans="1:26">
      <c r="A8" s="46"/>
      <c r="B8" s="17"/>
      <c r="C8" s="18"/>
      <c r="D8" s="18"/>
      <c r="E8" s="18"/>
      <c r="F8" s="18"/>
      <c r="G8" s="18"/>
      <c r="H8" s="18"/>
      <c r="I8" s="18"/>
      <c r="J8" s="18"/>
      <c r="K8" s="18"/>
      <c r="L8" s="18"/>
      <c r="M8" s="18"/>
      <c r="N8" s="18"/>
      <c r="O8" s="18"/>
      <c r="P8" s="18"/>
      <c r="Q8" s="18"/>
      <c r="R8" s="18"/>
      <c r="S8" s="18"/>
      <c r="T8" s="19"/>
      <c r="U8" s="46"/>
      <c r="V8" s="46"/>
      <c r="W8" s="46"/>
      <c r="X8" s="46"/>
      <c r="Y8" s="46"/>
      <c r="Z8" s="46"/>
    </row>
    <row r="9" spans="1:26" ht="19" customHeight="1">
      <c r="A9" s="46"/>
      <c r="B9" s="37"/>
      <c r="C9" s="208"/>
      <c r="D9" s="427" t="s">
        <v>191</v>
      </c>
      <c r="E9" s="427"/>
      <c r="F9" s="427"/>
      <c r="G9" s="427"/>
      <c r="H9" s="427"/>
      <c r="I9" s="427"/>
      <c r="J9" s="427"/>
      <c r="K9" s="427"/>
      <c r="L9" s="427"/>
      <c r="M9" s="427"/>
      <c r="N9" s="427"/>
      <c r="O9" s="427"/>
      <c r="P9" s="427"/>
      <c r="Q9" s="427"/>
      <c r="R9" s="427"/>
      <c r="S9" s="427"/>
      <c r="T9" s="353"/>
      <c r="U9" s="46"/>
      <c r="V9" s="46"/>
      <c r="W9" s="46"/>
      <c r="X9" s="46"/>
      <c r="Y9" s="46"/>
      <c r="Z9" s="46"/>
    </row>
    <row r="10" spans="1:26" ht="4" customHeight="1">
      <c r="A10" s="46"/>
      <c r="B10" s="38"/>
      <c r="C10" s="210"/>
      <c r="D10" s="428"/>
      <c r="E10" s="428"/>
      <c r="F10" s="428"/>
      <c r="G10" s="428"/>
      <c r="H10" s="428"/>
      <c r="I10" s="428"/>
      <c r="J10" s="428"/>
      <c r="K10" s="428"/>
      <c r="L10" s="428"/>
      <c r="M10" s="428"/>
      <c r="N10" s="428"/>
      <c r="O10" s="428"/>
      <c r="P10" s="428"/>
      <c r="Q10" s="428"/>
      <c r="R10" s="428"/>
      <c r="S10" s="428"/>
      <c r="T10" s="354"/>
      <c r="U10" s="46"/>
      <c r="V10" s="46"/>
      <c r="W10" s="46"/>
      <c r="X10" s="46"/>
      <c r="Y10" s="46"/>
      <c r="Z10" s="46"/>
    </row>
    <row r="11" spans="1:26">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row>
    <row r="12" spans="1:26">
      <c r="A12" s="46"/>
      <c r="B12" s="106" t="s">
        <v>675</v>
      </c>
      <c r="C12" s="362"/>
      <c r="D12" s="8"/>
      <c r="E12" s="8"/>
      <c r="F12" s="8"/>
      <c r="G12" s="8"/>
      <c r="H12" s="8"/>
      <c r="I12" s="8"/>
      <c r="J12" s="8"/>
      <c r="K12" s="8"/>
      <c r="L12" s="8"/>
      <c r="M12" s="8"/>
      <c r="N12" s="8"/>
      <c r="O12" s="8"/>
      <c r="P12" s="8"/>
      <c r="Q12" s="8"/>
      <c r="R12" s="8"/>
      <c r="S12" s="8"/>
      <c r="T12" s="9"/>
      <c r="U12" s="46"/>
      <c r="V12" s="46"/>
      <c r="W12" s="46"/>
      <c r="X12" s="46"/>
      <c r="Y12" s="46"/>
      <c r="Z12" s="46"/>
    </row>
    <row r="13" spans="1:26" s="40" customFormat="1">
      <c r="A13" s="46"/>
      <c r="B13" s="10"/>
      <c r="C13" s="11"/>
      <c r="D13" s="11"/>
      <c r="E13" s="11"/>
      <c r="F13" s="11"/>
      <c r="G13" s="11"/>
      <c r="H13" s="11"/>
      <c r="I13" s="11"/>
      <c r="J13" s="11"/>
      <c r="K13" s="11"/>
      <c r="L13" s="11"/>
      <c r="M13" s="11"/>
      <c r="N13" s="11"/>
      <c r="O13" s="11"/>
      <c r="P13" s="11"/>
      <c r="Q13" s="11"/>
      <c r="R13" s="11"/>
      <c r="S13" s="11"/>
      <c r="T13" s="12"/>
      <c r="U13" s="46"/>
      <c r="V13" s="46"/>
      <c r="W13" s="46"/>
      <c r="X13" s="46"/>
      <c r="Y13" s="46"/>
      <c r="Z13" s="46"/>
    </row>
    <row r="14" spans="1:26" s="40" customFormat="1">
      <c r="A14" s="46"/>
      <c r="B14" s="10"/>
      <c r="C14" s="11"/>
      <c r="D14" s="381"/>
      <c r="E14" s="441" t="s">
        <v>637</v>
      </c>
      <c r="F14" s="355" t="s">
        <v>638</v>
      </c>
      <c r="G14" s="355" t="s">
        <v>131</v>
      </c>
      <c r="H14" s="355" t="s">
        <v>639</v>
      </c>
      <c r="I14" s="355" t="s">
        <v>640</v>
      </c>
      <c r="J14" s="432"/>
      <c r="K14" s="434" t="s">
        <v>526</v>
      </c>
      <c r="L14" s="11"/>
      <c r="M14" s="11"/>
      <c r="N14" s="11"/>
      <c r="O14" s="11"/>
      <c r="P14" s="11"/>
      <c r="Q14" s="11"/>
      <c r="R14" s="11"/>
      <c r="S14" s="11"/>
      <c r="T14" s="12"/>
      <c r="U14" s="46"/>
      <c r="V14" s="46"/>
      <c r="W14" s="46"/>
      <c r="X14" s="46"/>
      <c r="Y14" s="46"/>
      <c r="Z14" s="46"/>
    </row>
    <row r="15" spans="1:26" s="40" customFormat="1">
      <c r="A15" s="46"/>
      <c r="B15" s="10"/>
      <c r="C15" s="11"/>
      <c r="D15" s="429"/>
      <c r="E15" s="430"/>
      <c r="F15" s="356" t="s">
        <v>641</v>
      </c>
      <c r="G15" s="356" t="s">
        <v>642</v>
      </c>
      <c r="H15" s="356" t="s">
        <v>643</v>
      </c>
      <c r="I15" s="356" t="s">
        <v>644</v>
      </c>
      <c r="J15" s="355" t="s">
        <v>645</v>
      </c>
      <c r="K15" s="355" t="s">
        <v>646</v>
      </c>
      <c r="L15" s="11"/>
      <c r="M15" s="363"/>
      <c r="N15" s="11"/>
      <c r="O15" s="11"/>
      <c r="P15" s="11"/>
      <c r="Q15" s="11"/>
      <c r="R15" s="11"/>
      <c r="S15" s="11"/>
      <c r="T15" s="12"/>
      <c r="U15" s="46"/>
      <c r="V15" s="46"/>
      <c r="W15" s="46"/>
      <c r="X15" s="46"/>
      <c r="Y15" s="46"/>
      <c r="Z15" s="46"/>
    </row>
    <row r="16" spans="1:26" s="40" customFormat="1">
      <c r="A16" s="46"/>
      <c r="B16" s="10"/>
      <c r="C16" s="11"/>
      <c r="D16" s="332" t="s">
        <v>647</v>
      </c>
      <c r="E16" s="332" t="s">
        <v>648</v>
      </c>
      <c r="F16" s="357" t="s">
        <v>649</v>
      </c>
      <c r="G16" s="357" t="s">
        <v>650</v>
      </c>
      <c r="H16" s="357" t="s">
        <v>651</v>
      </c>
      <c r="I16" s="357" t="s">
        <v>652</v>
      </c>
      <c r="J16" s="357" t="s">
        <v>653</v>
      </c>
      <c r="K16" s="357" t="s">
        <v>654</v>
      </c>
      <c r="L16" s="11"/>
      <c r="M16" s="11"/>
      <c r="N16" s="11"/>
      <c r="O16" s="11"/>
      <c r="P16" s="11"/>
      <c r="Q16" s="11"/>
      <c r="R16" s="11"/>
      <c r="S16" s="11"/>
      <c r="T16" s="12"/>
      <c r="U16" s="46"/>
      <c r="V16" s="46"/>
      <c r="W16" s="46"/>
      <c r="X16" s="46"/>
      <c r="Y16" s="46"/>
      <c r="Z16" s="46"/>
    </row>
    <row r="17" spans="1:26" s="40" customFormat="1" ht="57.5" customHeight="1">
      <c r="A17" s="46"/>
      <c r="B17" s="10"/>
      <c r="C17" s="11"/>
      <c r="D17" s="440" t="s">
        <v>257</v>
      </c>
      <c r="E17" s="178" t="s">
        <v>655</v>
      </c>
      <c r="F17" s="178" t="s">
        <v>656</v>
      </c>
      <c r="G17" s="178" t="s">
        <v>657</v>
      </c>
      <c r="H17" s="657" t="s">
        <v>658</v>
      </c>
      <c r="I17" s="178">
        <v>90</v>
      </c>
      <c r="J17" s="644" t="s">
        <v>695</v>
      </c>
      <c r="K17" s="440">
        <v>30</v>
      </c>
      <c r="L17" s="11"/>
      <c r="M17" s="53"/>
      <c r="N17" s="11"/>
      <c r="O17" s="11"/>
      <c r="P17" s="11"/>
      <c r="Q17" s="11"/>
      <c r="R17" s="11"/>
      <c r="S17" s="11"/>
      <c r="T17" s="12"/>
      <c r="U17" s="46"/>
      <c r="V17" s="46"/>
      <c r="W17" s="46"/>
      <c r="X17" s="46"/>
      <c r="Y17" s="46"/>
      <c r="Z17" s="46"/>
    </row>
    <row r="18" spans="1:26" s="40" customFormat="1" ht="27" customHeight="1">
      <c r="A18" s="46"/>
      <c r="B18" s="10"/>
      <c r="C18" s="11"/>
      <c r="D18" s="655"/>
      <c r="E18" s="178" t="s">
        <v>660</v>
      </c>
      <c r="F18" s="440" t="s">
        <v>661</v>
      </c>
      <c r="G18" s="178" t="s">
        <v>657</v>
      </c>
      <c r="H18" s="178" t="s">
        <v>662</v>
      </c>
      <c r="I18" s="178">
        <v>93</v>
      </c>
      <c r="J18" s="646"/>
      <c r="K18" s="651"/>
      <c r="L18" s="11"/>
      <c r="M18" s="53"/>
      <c r="N18" s="11"/>
      <c r="O18" s="11"/>
      <c r="P18" s="11"/>
      <c r="Q18" s="11"/>
      <c r="R18" s="11"/>
      <c r="S18" s="11"/>
      <c r="T18" s="12"/>
      <c r="U18" s="46"/>
      <c r="V18" s="46"/>
      <c r="W18" s="46"/>
      <c r="X18" s="46"/>
      <c r="Y18" s="46"/>
      <c r="Z18" s="46"/>
    </row>
    <row r="19" spans="1:26" s="40" customFormat="1" ht="21.5" customHeight="1">
      <c r="A19" s="46"/>
      <c r="B19" s="10"/>
      <c r="C19" s="11"/>
      <c r="D19" s="650"/>
      <c r="E19" s="12"/>
      <c r="F19" s="658" t="s">
        <v>656</v>
      </c>
      <c r="G19" s="659"/>
      <c r="H19" s="178">
        <v>80</v>
      </c>
      <c r="I19" s="178">
        <v>84</v>
      </c>
      <c r="J19" s="639"/>
      <c r="K19" s="650"/>
      <c r="L19" s="11"/>
      <c r="M19" s="53"/>
      <c r="N19" s="11"/>
      <c r="O19" s="11"/>
      <c r="P19" s="11"/>
      <c r="Q19" s="11"/>
      <c r="R19" s="11"/>
      <c r="S19" s="11"/>
      <c r="T19" s="12"/>
      <c r="U19" s="46"/>
      <c r="V19" s="46"/>
      <c r="W19" s="46"/>
      <c r="X19" s="46"/>
      <c r="Y19" s="46"/>
      <c r="Z19" s="46"/>
    </row>
    <row r="20" spans="1:26" s="40" customFormat="1">
      <c r="A20" s="46"/>
      <c r="B20" s="10"/>
      <c r="C20" s="11"/>
      <c r="D20" s="655"/>
      <c r="E20" s="660"/>
      <c r="F20" s="109"/>
      <c r="G20" s="655"/>
      <c r="H20" s="642">
        <v>250</v>
      </c>
      <c r="I20" s="178">
        <v>99</v>
      </c>
      <c r="J20" s="661"/>
      <c r="K20" s="655"/>
      <c r="L20" s="11"/>
      <c r="M20" s="45"/>
      <c r="N20" s="11"/>
      <c r="O20" s="11"/>
      <c r="P20" s="11"/>
      <c r="Q20" s="11"/>
      <c r="R20" s="11"/>
      <c r="S20" s="11"/>
      <c r="T20" s="12"/>
      <c r="U20" s="46"/>
      <c r="V20" s="46"/>
      <c r="W20" s="46"/>
      <c r="X20" s="46"/>
      <c r="Y20" s="46"/>
      <c r="Z20" s="46"/>
    </row>
    <row r="21" spans="1:26" s="40" customFormat="1" ht="53.5" customHeight="1">
      <c r="A21" s="46"/>
      <c r="B21" s="10"/>
      <c r="C21" s="11"/>
      <c r="D21" s="662" t="s">
        <v>258</v>
      </c>
      <c r="E21" s="264" t="s">
        <v>663</v>
      </c>
      <c r="F21" s="643" t="s">
        <v>665</v>
      </c>
      <c r="G21" s="662" t="s">
        <v>664</v>
      </c>
      <c r="H21" s="642">
        <v>80</v>
      </c>
      <c r="I21" s="657">
        <v>80</v>
      </c>
      <c r="J21" s="663" t="s">
        <v>659</v>
      </c>
      <c r="K21" s="662">
        <v>7.5</v>
      </c>
      <c r="L21" s="11"/>
      <c r="M21" s="53"/>
      <c r="N21" s="11"/>
      <c r="O21" s="11"/>
      <c r="P21" s="11"/>
      <c r="Q21" s="11"/>
      <c r="R21" s="11"/>
      <c r="S21" s="11"/>
      <c r="T21" s="12"/>
      <c r="U21" s="46"/>
      <c r="V21" s="46"/>
      <c r="W21" s="46"/>
      <c r="X21" s="46"/>
      <c r="Y21" s="46"/>
      <c r="Z21" s="46"/>
    </row>
    <row r="22" spans="1:26" s="40" customFormat="1">
      <c r="A22" s="46"/>
      <c r="B22" s="10"/>
      <c r="C22" s="11"/>
      <c r="D22" s="655"/>
      <c r="E22" s="660"/>
      <c r="F22" s="109"/>
      <c r="G22" s="655"/>
      <c r="H22" s="642">
        <v>250</v>
      </c>
      <c r="I22" s="178">
        <v>95</v>
      </c>
      <c r="J22" s="661"/>
      <c r="K22" s="655"/>
      <c r="L22" s="11"/>
      <c r="M22" s="11"/>
      <c r="N22" s="11"/>
      <c r="O22" s="11"/>
      <c r="P22" s="11"/>
      <c r="Q22" s="11"/>
      <c r="R22" s="11"/>
      <c r="S22" s="11"/>
      <c r="T22" s="12"/>
      <c r="U22" s="46"/>
      <c r="V22" s="46"/>
      <c r="W22" s="46"/>
      <c r="X22" s="46"/>
      <c r="Y22" s="46"/>
      <c r="Z22" s="46"/>
    </row>
    <row r="23" spans="1:26" s="40" customFormat="1">
      <c r="A23" s="46"/>
      <c r="B23" s="10"/>
      <c r="C23" s="11"/>
      <c r="D23" s="655"/>
      <c r="E23" s="109"/>
      <c r="F23" s="678" t="s">
        <v>666</v>
      </c>
      <c r="G23" s="660"/>
      <c r="H23" s="642">
        <v>80</v>
      </c>
      <c r="I23" s="178">
        <v>81</v>
      </c>
      <c r="J23" s="661"/>
      <c r="K23" s="655"/>
      <c r="L23" s="11"/>
      <c r="M23" s="11"/>
      <c r="N23" s="11"/>
      <c r="O23" s="11"/>
      <c r="P23" s="11"/>
      <c r="Q23" s="11"/>
      <c r="R23" s="11"/>
      <c r="S23" s="11"/>
      <c r="T23" s="12"/>
      <c r="U23" s="46"/>
      <c r="V23" s="46"/>
      <c r="W23" s="46"/>
      <c r="X23" s="46"/>
      <c r="Y23" s="46"/>
      <c r="Z23" s="46"/>
    </row>
    <row r="24" spans="1:26" s="40" customFormat="1">
      <c r="A24" s="46"/>
      <c r="B24" s="10"/>
      <c r="C24" s="11"/>
      <c r="D24" s="655"/>
      <c r="E24" s="660"/>
      <c r="F24" s="655"/>
      <c r="G24" s="651"/>
      <c r="H24" s="178">
        <v>250</v>
      </c>
      <c r="I24" s="178">
        <v>96</v>
      </c>
      <c r="J24" s="640"/>
      <c r="K24" s="655"/>
      <c r="L24" s="11"/>
      <c r="M24" s="11"/>
      <c r="N24" s="11"/>
      <c r="O24" s="11"/>
      <c r="P24" s="11"/>
      <c r="Q24" s="11"/>
      <c r="R24" s="11"/>
      <c r="S24" s="11"/>
      <c r="T24" s="12"/>
      <c r="U24" s="46"/>
      <c r="V24" s="46"/>
      <c r="W24" s="46"/>
      <c r="X24" s="46"/>
      <c r="Y24" s="46"/>
      <c r="Z24" s="46"/>
    </row>
    <row r="25" spans="1:26" s="40" customFormat="1" ht="16.5" customHeight="1">
      <c r="A25" s="46"/>
      <c r="B25" s="10"/>
      <c r="C25" s="11"/>
      <c r="D25" s="643"/>
      <c r="E25" s="643"/>
      <c r="F25" s="644"/>
      <c r="G25" s="642" t="s">
        <v>669</v>
      </c>
      <c r="H25" s="178" t="s">
        <v>658</v>
      </c>
      <c r="I25" s="657">
        <v>70</v>
      </c>
      <c r="J25" s="664"/>
      <c r="K25" s="440"/>
      <c r="L25" s="11"/>
      <c r="M25" s="11"/>
      <c r="N25" s="11"/>
      <c r="O25" s="11"/>
      <c r="P25" s="11"/>
      <c r="Q25" s="11"/>
      <c r="R25" s="11"/>
      <c r="S25" s="11"/>
      <c r="T25" s="12"/>
      <c r="U25" s="46"/>
      <c r="V25" s="46"/>
      <c r="W25" s="46"/>
      <c r="X25" s="46"/>
      <c r="Y25" s="46"/>
      <c r="Z25" s="46"/>
    </row>
    <row r="26" spans="1:26" s="40" customFormat="1" ht="56.5" customHeight="1">
      <c r="A26" s="46"/>
      <c r="B26" s="10"/>
      <c r="C26" s="11"/>
      <c r="D26" s="662" t="s">
        <v>259</v>
      </c>
      <c r="E26" s="662" t="s">
        <v>667</v>
      </c>
      <c r="F26" s="665" t="s">
        <v>668</v>
      </c>
      <c r="G26" s="178" t="s">
        <v>670</v>
      </c>
      <c r="H26" s="178" t="s">
        <v>658</v>
      </c>
      <c r="I26" s="178">
        <v>60</v>
      </c>
      <c r="J26" s="665" t="s">
        <v>695</v>
      </c>
      <c r="K26" s="662">
        <v>30</v>
      </c>
      <c r="L26" s="11"/>
      <c r="M26" s="11"/>
      <c r="N26" s="11"/>
      <c r="O26" s="11"/>
      <c r="P26" s="11"/>
      <c r="Q26" s="11"/>
      <c r="R26" s="11"/>
      <c r="S26" s="11"/>
      <c r="T26" s="12"/>
      <c r="U26" s="46"/>
      <c r="V26" s="46"/>
      <c r="W26" s="46"/>
      <c r="X26" s="46"/>
      <c r="Y26" s="46"/>
      <c r="Z26" s="46"/>
    </row>
    <row r="27" spans="1:26" s="40" customFormat="1" ht="36" customHeight="1">
      <c r="A27" s="46"/>
      <c r="B27" s="10"/>
      <c r="C27" s="11"/>
      <c r="D27" s="643" t="s">
        <v>260</v>
      </c>
      <c r="E27" s="664" t="s">
        <v>671</v>
      </c>
      <c r="F27" s="644" t="s">
        <v>677</v>
      </c>
      <c r="G27" s="642" t="s">
        <v>678</v>
      </c>
      <c r="H27" s="178" t="s">
        <v>658</v>
      </c>
      <c r="I27" s="657" t="s">
        <v>680</v>
      </c>
      <c r="J27" s="664" t="s">
        <v>673</v>
      </c>
      <c r="K27" s="440">
        <v>25</v>
      </c>
      <c r="L27" s="11"/>
      <c r="M27" s="11"/>
      <c r="N27" s="11"/>
      <c r="O27" s="11"/>
      <c r="P27" s="11"/>
      <c r="Q27" s="11"/>
      <c r="R27" s="11"/>
      <c r="S27" s="11"/>
      <c r="T27" s="12"/>
      <c r="U27" s="46"/>
      <c r="V27" s="46"/>
      <c r="W27" s="46"/>
      <c r="X27" s="46"/>
      <c r="Y27" s="46"/>
      <c r="Z27" s="46"/>
    </row>
    <row r="28" spans="1:26" s="40" customFormat="1" ht="16.5" customHeight="1">
      <c r="A28" s="46"/>
      <c r="B28" s="10"/>
      <c r="C28" s="11"/>
      <c r="D28" s="651"/>
      <c r="E28" s="646"/>
      <c r="F28" s="640"/>
      <c r="G28" s="178" t="s">
        <v>679</v>
      </c>
      <c r="H28" s="178" t="s">
        <v>658</v>
      </c>
      <c r="I28" s="178" t="s">
        <v>672</v>
      </c>
      <c r="J28" s="640"/>
      <c r="K28" s="655"/>
      <c r="L28" s="11"/>
      <c r="M28" s="11"/>
      <c r="N28" s="11"/>
      <c r="O28" s="11"/>
      <c r="P28" s="11"/>
      <c r="Q28" s="11"/>
      <c r="R28" s="11"/>
      <c r="S28" s="11"/>
      <c r="T28" s="12"/>
      <c r="U28" s="46"/>
      <c r="V28" s="46"/>
      <c r="W28" s="46"/>
      <c r="X28" s="46"/>
      <c r="Y28" s="46"/>
      <c r="Z28" s="46"/>
    </row>
    <row r="29" spans="1:26" s="40" customFormat="1">
      <c r="A29" s="46"/>
      <c r="B29" s="10"/>
      <c r="C29" s="11"/>
      <c r="D29" s="358" t="s">
        <v>674</v>
      </c>
      <c r="E29" s="359"/>
      <c r="F29" s="359"/>
      <c r="G29" s="359"/>
      <c r="H29" s="359"/>
      <c r="I29" s="359"/>
      <c r="J29" s="359"/>
      <c r="K29" s="360"/>
      <c r="L29" s="11"/>
      <c r="M29" s="11"/>
      <c r="N29" s="11"/>
      <c r="O29" s="11"/>
      <c r="P29" s="11"/>
      <c r="Q29" s="11"/>
      <c r="R29" s="11"/>
      <c r="S29" s="11"/>
      <c r="T29" s="12"/>
      <c r="U29" s="46"/>
      <c r="V29" s="46"/>
      <c r="W29" s="46"/>
      <c r="X29" s="46"/>
      <c r="Y29" s="46"/>
      <c r="Z29" s="46"/>
    </row>
    <row r="30" spans="1:26" s="40" customFormat="1">
      <c r="A30" s="46"/>
      <c r="B30" s="17"/>
      <c r="C30" s="18"/>
      <c r="D30" s="18"/>
      <c r="E30" s="18"/>
      <c r="F30" s="18"/>
      <c r="G30" s="18"/>
      <c r="H30" s="18"/>
      <c r="I30" s="18"/>
      <c r="J30" s="18"/>
      <c r="K30" s="18"/>
      <c r="L30" s="18"/>
      <c r="M30" s="18"/>
      <c r="N30" s="18"/>
      <c r="O30" s="18"/>
      <c r="P30" s="18"/>
      <c r="Q30" s="18"/>
      <c r="R30" s="18"/>
      <c r="S30" s="18"/>
      <c r="T30" s="19"/>
      <c r="U30" s="46"/>
      <c r="V30" s="46"/>
      <c r="W30" s="46"/>
      <c r="X30" s="46"/>
      <c r="Y30" s="46"/>
      <c r="Z30" s="46"/>
    </row>
    <row r="31" spans="1:26" s="40" customFormat="1">
      <c r="A31" s="46"/>
      <c r="B31" s="11"/>
      <c r="C31" s="11"/>
      <c r="D31" s="11"/>
      <c r="E31" s="11"/>
      <c r="F31" s="11"/>
      <c r="G31" s="11"/>
      <c r="H31" s="11"/>
      <c r="I31" s="11"/>
      <c r="J31" s="11"/>
      <c r="K31" s="11"/>
      <c r="L31" s="11"/>
      <c r="M31" s="11"/>
      <c r="N31" s="11"/>
      <c r="O31" s="11"/>
      <c r="P31" s="11"/>
      <c r="Q31" s="11"/>
      <c r="R31" s="11"/>
      <c r="S31" s="11"/>
      <c r="T31" s="11"/>
      <c r="U31" s="46"/>
      <c r="V31" s="46"/>
      <c r="W31" s="46"/>
      <c r="X31" s="46"/>
      <c r="Y31" s="46"/>
      <c r="Z31" s="46"/>
    </row>
    <row r="32" spans="1:26" s="40" customFormat="1">
      <c r="A32" s="46"/>
      <c r="B32" s="364" t="s">
        <v>681</v>
      </c>
      <c r="C32" s="8"/>
      <c r="D32" s="8"/>
      <c r="E32" s="8"/>
      <c r="F32" s="8"/>
      <c r="G32" s="8"/>
      <c r="H32" s="8"/>
      <c r="I32" s="8"/>
      <c r="J32" s="8"/>
      <c r="K32" s="8"/>
      <c r="L32" s="8"/>
      <c r="M32" s="8"/>
      <c r="N32" s="8"/>
      <c r="O32" s="8"/>
      <c r="P32" s="8"/>
      <c r="Q32" s="8"/>
      <c r="R32" s="8"/>
      <c r="S32" s="8"/>
      <c r="T32" s="9"/>
      <c r="U32" s="46"/>
      <c r="V32" s="46"/>
      <c r="W32" s="46"/>
      <c r="X32" s="46"/>
      <c r="Y32" s="46"/>
      <c r="Z32" s="46"/>
    </row>
    <row r="33" spans="1:26" s="40" customFormat="1">
      <c r="A33" s="46"/>
      <c r="B33" s="365" t="s">
        <v>257</v>
      </c>
      <c r="C33" s="11"/>
      <c r="D33" s="11"/>
      <c r="E33" s="11"/>
      <c r="F33" s="11"/>
      <c r="G33" s="11"/>
      <c r="H33" s="11"/>
      <c r="I33" s="11"/>
      <c r="J33" s="11"/>
      <c r="K33" s="11"/>
      <c r="L33" s="11"/>
      <c r="M33" s="11"/>
      <c r="N33" s="11"/>
      <c r="O33" s="11"/>
      <c r="P33" s="11"/>
      <c r="Q33" s="11"/>
      <c r="R33" s="11"/>
      <c r="S33" s="11"/>
      <c r="T33" s="12"/>
      <c r="U33" s="46"/>
      <c r="V33" s="46"/>
      <c r="W33" s="46"/>
      <c r="X33" s="46"/>
      <c r="Y33" s="46"/>
      <c r="Z33" s="46"/>
    </row>
    <row r="34" spans="1:26" s="40" customFormat="1" ht="16.5">
      <c r="A34" s="46"/>
      <c r="B34" s="144" t="s">
        <v>274</v>
      </c>
      <c r="C34" s="76"/>
      <c r="D34" s="66"/>
      <c r="E34" s="143"/>
      <c r="F34" s="11"/>
      <c r="G34" s="11"/>
      <c r="H34" s="15"/>
      <c r="I34" s="11"/>
      <c r="J34" s="107"/>
      <c r="K34" s="11"/>
      <c r="L34" s="11"/>
      <c r="M34" s="11"/>
      <c r="N34" s="11"/>
      <c r="O34" s="11"/>
      <c r="P34" s="11"/>
      <c r="Q34" s="11"/>
      <c r="R34" s="11"/>
      <c r="S34" s="11"/>
      <c r="T34" s="12"/>
      <c r="U34" s="46"/>
      <c r="V34" s="46"/>
      <c r="W34" s="46"/>
      <c r="X34" s="46"/>
      <c r="Y34" s="46"/>
      <c r="Z34" s="46"/>
    </row>
    <row r="35" spans="1:26" s="40" customFormat="1" ht="15">
      <c r="A35" s="46"/>
      <c r="B35" s="155" t="s">
        <v>687</v>
      </c>
      <c r="C35" s="76"/>
      <c r="D35" s="66"/>
      <c r="E35" s="139"/>
      <c r="F35" s="11"/>
      <c r="G35" s="11"/>
      <c r="H35" s="11"/>
      <c r="I35" s="11"/>
      <c r="J35" s="11"/>
      <c r="K35" s="11"/>
      <c r="L35" s="11"/>
      <c r="M35" s="11"/>
      <c r="N35" s="11"/>
      <c r="O35" s="11"/>
      <c r="P35" s="11"/>
      <c r="Q35" s="11"/>
      <c r="R35" s="11"/>
      <c r="S35" s="11"/>
      <c r="T35" s="12"/>
      <c r="U35" s="46"/>
      <c r="V35" s="46"/>
      <c r="W35" s="46"/>
      <c r="X35" s="46"/>
      <c r="Y35" s="46"/>
      <c r="Z35" s="46"/>
    </row>
    <row r="36" spans="1:26" s="40" customFormat="1" ht="16.5">
      <c r="A36" s="46"/>
      <c r="B36" s="119" t="s">
        <v>686</v>
      </c>
      <c r="C36" s="120"/>
      <c r="D36" s="137"/>
      <c r="E36" s="138"/>
      <c r="F36" s="18"/>
      <c r="G36" s="18"/>
      <c r="H36" s="18"/>
      <c r="I36" s="18"/>
      <c r="J36" s="18"/>
      <c r="K36" s="18"/>
      <c r="L36" s="18"/>
      <c r="M36" s="18"/>
      <c r="N36" s="18"/>
      <c r="O36" s="18"/>
      <c r="P36" s="18"/>
      <c r="Q36" s="18"/>
      <c r="R36" s="18"/>
      <c r="S36" s="18"/>
      <c r="T36" s="19"/>
      <c r="U36" s="46"/>
      <c r="V36" s="46"/>
      <c r="W36" s="46"/>
      <c r="X36" s="46"/>
      <c r="Y36" s="46"/>
      <c r="Z36" s="46"/>
    </row>
    <row r="37" spans="1:26" s="40" customFormat="1">
      <c r="A37" s="46"/>
      <c r="B37" s="248"/>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s="40" customFormat="1">
      <c r="A38" s="46"/>
      <c r="B38" s="106" t="s">
        <v>258</v>
      </c>
      <c r="C38" s="8"/>
      <c r="D38" s="8"/>
      <c r="E38" s="8"/>
      <c r="F38" s="8"/>
      <c r="G38" s="8"/>
      <c r="H38" s="8"/>
      <c r="I38" s="8"/>
      <c r="J38" s="8"/>
      <c r="K38" s="8"/>
      <c r="L38" s="8"/>
      <c r="M38" s="8"/>
      <c r="N38" s="8"/>
      <c r="O38" s="8"/>
      <c r="P38" s="8"/>
      <c r="Q38" s="8"/>
      <c r="R38" s="8"/>
      <c r="S38" s="8"/>
      <c r="T38" s="9"/>
      <c r="U38" s="46"/>
      <c r="V38" s="46"/>
      <c r="W38" s="46"/>
      <c r="X38" s="46"/>
      <c r="Y38" s="46"/>
      <c r="Z38" s="46"/>
    </row>
    <row r="39" spans="1:26" s="40" customFormat="1" ht="16.5">
      <c r="A39" s="46"/>
      <c r="B39" s="10" t="s">
        <v>684</v>
      </c>
      <c r="C39" s="11"/>
      <c r="D39" s="11"/>
      <c r="E39" s="11"/>
      <c r="F39" s="11"/>
      <c r="G39" s="11"/>
      <c r="H39" s="11"/>
      <c r="I39" s="11"/>
      <c r="J39" s="11"/>
      <c r="K39" s="11"/>
      <c r="L39" s="11"/>
      <c r="M39" s="11"/>
      <c r="N39" s="11"/>
      <c r="O39" s="11"/>
      <c r="P39" s="11"/>
      <c r="Q39" s="11"/>
      <c r="R39" s="11"/>
      <c r="S39" s="11"/>
      <c r="T39" s="12"/>
      <c r="U39" s="46"/>
      <c r="V39" s="46"/>
      <c r="W39" s="46"/>
      <c r="X39" s="46"/>
      <c r="Y39" s="46"/>
      <c r="Z39" s="46"/>
    </row>
    <row r="40" spans="1:26" s="40" customFormat="1">
      <c r="A40" s="46"/>
      <c r="B40" s="10"/>
      <c r="C40" s="11"/>
      <c r="D40" s="11"/>
      <c r="E40" s="11"/>
      <c r="F40" s="11"/>
      <c r="G40" s="11"/>
      <c r="H40" s="11"/>
      <c r="I40" s="11"/>
      <c r="J40" s="11"/>
      <c r="K40" s="11"/>
      <c r="L40" s="11"/>
      <c r="M40" s="11"/>
      <c r="N40" s="11"/>
      <c r="O40" s="11"/>
      <c r="P40" s="11"/>
      <c r="Q40" s="11"/>
      <c r="R40" s="11"/>
      <c r="S40" s="11"/>
      <c r="T40" s="12"/>
      <c r="U40" s="46"/>
      <c r="V40" s="46"/>
      <c r="W40" s="46"/>
      <c r="X40" s="46"/>
      <c r="Y40" s="46"/>
      <c r="Z40" s="46"/>
    </row>
    <row r="41" spans="1:26" s="40" customFormat="1">
      <c r="A41" s="46"/>
      <c r="B41" s="10"/>
      <c r="C41" s="11"/>
      <c r="D41" s="11"/>
      <c r="E41" s="11"/>
      <c r="F41" s="11"/>
      <c r="G41" s="11" t="s">
        <v>213</v>
      </c>
      <c r="H41" s="11"/>
      <c r="I41" s="11"/>
      <c r="J41" s="11"/>
      <c r="K41" s="11"/>
      <c r="L41" s="11"/>
      <c r="M41" s="11"/>
      <c r="N41" s="11"/>
      <c r="O41" s="11"/>
      <c r="P41" s="11"/>
      <c r="Q41" s="11"/>
      <c r="R41" s="11"/>
      <c r="S41" s="11"/>
      <c r="T41" s="12"/>
      <c r="U41" s="46"/>
      <c r="V41" s="46"/>
      <c r="W41" s="46"/>
      <c r="X41" s="46"/>
      <c r="Y41" s="46"/>
      <c r="Z41" s="46"/>
    </row>
    <row r="42" spans="1:26" ht="16.5">
      <c r="A42" s="46"/>
      <c r="B42" s="10"/>
      <c r="C42" s="11"/>
      <c r="D42" s="11"/>
      <c r="E42" s="11"/>
      <c r="F42" s="11"/>
      <c r="G42" s="15" t="s">
        <v>214</v>
      </c>
      <c r="H42" s="11" t="s">
        <v>751</v>
      </c>
      <c r="I42" s="11"/>
      <c r="J42" s="11"/>
      <c r="K42" s="11"/>
      <c r="L42" s="11"/>
      <c r="M42" s="11"/>
      <c r="N42" s="11"/>
      <c r="O42" s="11"/>
      <c r="P42" s="11"/>
      <c r="Q42" s="11"/>
      <c r="R42" s="11"/>
      <c r="S42" s="11"/>
      <c r="T42" s="12"/>
      <c r="U42" s="46"/>
      <c r="V42" s="46"/>
      <c r="W42" s="46"/>
      <c r="X42" s="46"/>
      <c r="Y42" s="46"/>
      <c r="Z42" s="46"/>
    </row>
    <row r="43" spans="1:26" ht="16.5">
      <c r="A43" s="46"/>
      <c r="B43" s="10"/>
      <c r="C43" s="11"/>
      <c r="D43" s="11"/>
      <c r="E43" s="11"/>
      <c r="F43" s="11"/>
      <c r="G43" s="15" t="s">
        <v>216</v>
      </c>
      <c r="H43" s="11" t="s">
        <v>217</v>
      </c>
      <c r="I43" s="11"/>
      <c r="J43" s="11"/>
      <c r="K43" s="11"/>
      <c r="L43" s="11"/>
      <c r="M43" s="11"/>
      <c r="N43" s="11"/>
      <c r="O43" s="11"/>
      <c r="P43" s="11"/>
      <c r="Q43" s="11"/>
      <c r="R43" s="11"/>
      <c r="S43" s="11"/>
      <c r="T43" s="12"/>
      <c r="U43" s="46"/>
      <c r="V43" s="46"/>
      <c r="W43" s="46"/>
      <c r="X43" s="46"/>
      <c r="Y43" s="46"/>
      <c r="Z43" s="46"/>
    </row>
    <row r="44" spans="1:26" ht="16.5">
      <c r="A44" s="46"/>
      <c r="B44" s="10"/>
      <c r="C44" s="11"/>
      <c r="D44" s="11"/>
      <c r="E44" s="11"/>
      <c r="F44" s="11"/>
      <c r="G44" s="15" t="s">
        <v>218</v>
      </c>
      <c r="H44" s="11" t="s">
        <v>219</v>
      </c>
      <c r="I44" s="11"/>
      <c r="J44" s="11"/>
      <c r="K44" s="11"/>
      <c r="L44" s="11"/>
      <c r="M44" s="11"/>
      <c r="N44" s="11"/>
      <c r="O44" s="11"/>
      <c r="P44" s="11"/>
      <c r="Q44" s="11"/>
      <c r="R44" s="11"/>
      <c r="S44" s="11"/>
      <c r="T44" s="12"/>
      <c r="U44" s="46"/>
      <c r="V44" s="46"/>
      <c r="W44" s="46"/>
      <c r="X44" s="46"/>
      <c r="Y44" s="46"/>
      <c r="Z44" s="46"/>
    </row>
    <row r="45" spans="1:26" ht="16.5">
      <c r="A45" s="46"/>
      <c r="B45" s="10"/>
      <c r="C45" s="11"/>
      <c r="D45" s="11"/>
      <c r="E45" s="11"/>
      <c r="F45" s="11"/>
      <c r="G45" s="15" t="s">
        <v>226</v>
      </c>
      <c r="H45" s="11" t="s">
        <v>227</v>
      </c>
      <c r="I45" s="11"/>
      <c r="J45" s="11"/>
      <c r="K45" s="11"/>
      <c r="L45" s="11"/>
      <c r="M45" s="11"/>
      <c r="N45" s="11"/>
      <c r="O45" s="11"/>
      <c r="P45" s="11"/>
      <c r="Q45" s="11"/>
      <c r="R45" s="11"/>
      <c r="S45" s="11"/>
      <c r="T45" s="12"/>
      <c r="U45" s="46"/>
      <c r="V45" s="46"/>
      <c r="W45" s="46"/>
      <c r="X45" s="46"/>
      <c r="Y45" s="46"/>
      <c r="Z45" s="46"/>
    </row>
    <row r="46" spans="1:26" s="40" customFormat="1" ht="16.5">
      <c r="A46" s="46"/>
      <c r="B46" s="10"/>
      <c r="C46" s="11"/>
      <c r="D46" s="11"/>
      <c r="E46" s="11"/>
      <c r="F46" s="11"/>
      <c r="G46" s="156" t="s">
        <v>221</v>
      </c>
      <c r="H46" s="11" t="s">
        <v>220</v>
      </c>
      <c r="I46" s="11"/>
      <c r="J46" s="11"/>
      <c r="K46" s="11" t="s">
        <v>232</v>
      </c>
      <c r="L46" s="15">
        <v>2.0000000000000002E-5</v>
      </c>
      <c r="M46" s="15" t="s">
        <v>44</v>
      </c>
      <c r="N46" s="11"/>
      <c r="O46" s="11"/>
      <c r="P46" s="11"/>
      <c r="Q46" s="11"/>
      <c r="R46" s="11"/>
      <c r="S46" s="11"/>
      <c r="T46" s="12"/>
      <c r="U46" s="46"/>
      <c r="V46" s="46"/>
      <c r="W46" s="46"/>
      <c r="X46" s="46"/>
      <c r="Y46" s="46"/>
      <c r="Z46" s="46"/>
    </row>
    <row r="47" spans="1:26" s="40" customFormat="1" ht="16.5">
      <c r="A47" s="46"/>
      <c r="B47" s="10"/>
      <c r="C47" s="11"/>
      <c r="D47" s="11"/>
      <c r="E47" s="11"/>
      <c r="F47" s="11"/>
      <c r="G47" s="157" t="s">
        <v>225</v>
      </c>
      <c r="H47" s="11" t="s">
        <v>685</v>
      </c>
      <c r="I47" s="11"/>
      <c r="J47" s="11"/>
      <c r="K47" s="11"/>
      <c r="L47" s="11"/>
      <c r="M47" s="15"/>
      <c r="N47" s="15"/>
      <c r="O47" s="11"/>
      <c r="P47" s="11"/>
      <c r="Q47" s="11"/>
      <c r="R47" s="11"/>
      <c r="S47" s="11"/>
      <c r="T47" s="12"/>
      <c r="U47" s="46"/>
      <c r="V47" s="46"/>
      <c r="W47" s="46"/>
      <c r="X47" s="46"/>
      <c r="Y47" s="46"/>
      <c r="Z47" s="46"/>
    </row>
    <row r="48" spans="1:26" s="40" customFormat="1" ht="16.5">
      <c r="A48" s="46"/>
      <c r="B48" s="17"/>
      <c r="C48" s="18"/>
      <c r="D48" s="18"/>
      <c r="E48" s="18"/>
      <c r="F48" s="18"/>
      <c r="G48" s="108" t="s">
        <v>228</v>
      </c>
      <c r="H48" s="18" t="s">
        <v>752</v>
      </c>
      <c r="I48" s="18"/>
      <c r="J48" s="18"/>
      <c r="K48" s="18"/>
      <c r="L48" s="18"/>
      <c r="M48" s="18"/>
      <c r="N48" s="18"/>
      <c r="O48" s="18"/>
      <c r="P48" s="18"/>
      <c r="Q48" s="18"/>
      <c r="R48" s="18"/>
      <c r="S48" s="18"/>
      <c r="T48" s="19"/>
      <c r="U48" s="46"/>
      <c r="V48" s="46"/>
      <c r="W48" s="46"/>
      <c r="X48" s="46"/>
      <c r="Y48" s="46"/>
      <c r="Z48" s="46"/>
    </row>
    <row r="49" spans="1:26" s="40" customForma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c r="A50" s="46"/>
      <c r="B50" s="106" t="s">
        <v>259</v>
      </c>
      <c r="C50" s="8"/>
      <c r="D50" s="8"/>
      <c r="E50" s="8"/>
      <c r="F50" s="8"/>
      <c r="G50" s="8"/>
      <c r="H50" s="8"/>
      <c r="I50" s="8"/>
      <c r="J50" s="8"/>
      <c r="K50" s="8"/>
      <c r="L50" s="8"/>
      <c r="M50" s="8"/>
      <c r="N50" s="8"/>
      <c r="O50" s="8"/>
      <c r="P50" s="8"/>
      <c r="Q50" s="8"/>
      <c r="R50" s="8"/>
      <c r="S50" s="8"/>
      <c r="T50" s="9"/>
      <c r="U50" s="46"/>
      <c r="V50" s="46"/>
      <c r="W50" s="46"/>
      <c r="X50" s="46"/>
      <c r="Y50" s="46"/>
      <c r="Z50" s="46"/>
    </row>
    <row r="51" spans="1:26" ht="16.5">
      <c r="A51" s="46"/>
      <c r="B51" s="10" t="s">
        <v>480</v>
      </c>
      <c r="C51" s="11" t="s">
        <v>478</v>
      </c>
      <c r="D51" s="11"/>
      <c r="E51" s="11"/>
      <c r="F51" s="11"/>
      <c r="G51" s="11"/>
      <c r="H51" s="11"/>
      <c r="I51" s="11"/>
      <c r="J51" s="11" t="s">
        <v>482</v>
      </c>
      <c r="K51" s="11" t="s">
        <v>481</v>
      </c>
      <c r="L51" s="11"/>
      <c r="M51" s="11"/>
      <c r="N51" s="11"/>
      <c r="O51" s="11"/>
      <c r="P51" s="11"/>
      <c r="Q51" s="11"/>
      <c r="R51" s="11"/>
      <c r="S51" s="11"/>
      <c r="T51" s="12"/>
      <c r="U51" s="46"/>
      <c r="V51" s="46"/>
      <c r="W51" s="46"/>
      <c r="X51" s="46"/>
      <c r="Y51" s="46"/>
      <c r="Z51" s="46"/>
    </row>
    <row r="52" spans="1:26" ht="16.5">
      <c r="A52" s="46"/>
      <c r="B52" s="10"/>
      <c r="C52" s="11" t="s">
        <v>479</v>
      </c>
      <c r="D52" s="11"/>
      <c r="E52" s="11"/>
      <c r="F52" s="11"/>
      <c r="G52" s="11"/>
      <c r="H52" s="11"/>
      <c r="I52" s="11"/>
      <c r="J52" s="11"/>
      <c r="K52" s="11" t="s">
        <v>498</v>
      </c>
      <c r="L52" s="11"/>
      <c r="M52" s="11"/>
      <c r="N52" s="11"/>
      <c r="O52" s="11"/>
      <c r="P52" s="11"/>
      <c r="Q52" s="11"/>
      <c r="R52" s="11"/>
      <c r="S52" s="11"/>
      <c r="T52" s="12"/>
      <c r="U52" s="46"/>
      <c r="V52" s="46"/>
      <c r="W52" s="46"/>
      <c r="X52" s="46"/>
      <c r="Y52" s="46"/>
      <c r="Z52" s="46"/>
    </row>
    <row r="53" spans="1:26">
      <c r="A53" s="46"/>
      <c r="B53" s="10"/>
      <c r="C53" s="11"/>
      <c r="D53" s="11"/>
      <c r="E53" s="11"/>
      <c r="F53" s="11"/>
      <c r="G53" s="11"/>
      <c r="H53" s="11"/>
      <c r="I53" s="11"/>
      <c r="J53" s="11"/>
      <c r="K53" s="11" t="s">
        <v>846</v>
      </c>
      <c r="L53" s="11"/>
      <c r="M53" s="11"/>
      <c r="N53" s="11"/>
      <c r="O53" s="11"/>
      <c r="P53" s="11"/>
      <c r="Q53" s="11"/>
      <c r="R53" s="11"/>
      <c r="S53" s="11"/>
      <c r="T53" s="12"/>
      <c r="U53" s="46"/>
      <c r="V53" s="46"/>
      <c r="W53" s="46"/>
      <c r="X53" s="46"/>
      <c r="Y53" s="46"/>
      <c r="Z53" s="46"/>
    </row>
    <row r="54" spans="1:26">
      <c r="A54" s="46"/>
      <c r="B54" s="10"/>
      <c r="C54" s="11"/>
      <c r="D54" s="11"/>
      <c r="E54" s="11"/>
      <c r="F54" s="11"/>
      <c r="G54" s="11"/>
      <c r="H54" s="11"/>
      <c r="I54" s="11"/>
      <c r="J54" s="11"/>
      <c r="K54" s="11"/>
      <c r="L54" s="11"/>
      <c r="M54" s="11"/>
      <c r="N54" s="11"/>
      <c r="O54" s="11"/>
      <c r="P54" s="11"/>
      <c r="Q54" s="11"/>
      <c r="R54" s="11"/>
      <c r="S54" s="11"/>
      <c r="T54" s="12"/>
      <c r="U54" s="46"/>
      <c r="V54" s="46"/>
      <c r="W54" s="46"/>
      <c r="X54" s="46"/>
      <c r="Y54" s="46"/>
      <c r="Z54" s="46"/>
    </row>
    <row r="55" spans="1:26">
      <c r="A55" s="46"/>
      <c r="B55" s="10"/>
      <c r="C55" s="11"/>
      <c r="D55" s="11"/>
      <c r="E55" s="11"/>
      <c r="F55" s="11"/>
      <c r="G55" s="11"/>
      <c r="H55" s="11"/>
      <c r="I55" s="11"/>
      <c r="J55" s="11"/>
      <c r="K55" s="11"/>
      <c r="L55" s="11"/>
      <c r="M55" s="11"/>
      <c r="N55" s="11"/>
      <c r="O55" s="11"/>
      <c r="P55" s="11"/>
      <c r="Q55" s="11"/>
      <c r="R55" s="11"/>
      <c r="S55" s="11"/>
      <c r="T55" s="12"/>
      <c r="U55" s="46"/>
      <c r="V55" s="46"/>
      <c r="W55" s="46"/>
      <c r="X55" s="46"/>
      <c r="Y55" s="46"/>
      <c r="Z55" s="46"/>
    </row>
    <row r="56" spans="1:26">
      <c r="A56" s="46"/>
      <c r="B56" s="10"/>
      <c r="C56" s="11"/>
      <c r="D56" s="11"/>
      <c r="E56" s="11"/>
      <c r="F56" s="11"/>
      <c r="G56" s="11"/>
      <c r="H56" s="11"/>
      <c r="I56" s="11"/>
      <c r="J56" s="11"/>
      <c r="K56" s="11"/>
      <c r="L56" s="11"/>
      <c r="M56" s="11"/>
      <c r="N56" s="11"/>
      <c r="O56" s="11"/>
      <c r="P56" s="11"/>
      <c r="Q56" s="11"/>
      <c r="R56" s="11"/>
      <c r="S56" s="11"/>
      <c r="T56" s="12"/>
      <c r="U56" s="46"/>
      <c r="V56" s="46"/>
      <c r="W56" s="46"/>
      <c r="X56" s="46"/>
      <c r="Y56" s="46"/>
      <c r="Z56" s="46"/>
    </row>
    <row r="57" spans="1:26">
      <c r="A57" s="46"/>
      <c r="B57" s="10"/>
      <c r="C57" s="11"/>
      <c r="D57" s="11"/>
      <c r="E57" s="11"/>
      <c r="F57" s="11"/>
      <c r="G57" s="11"/>
      <c r="H57" s="11"/>
      <c r="I57" s="11"/>
      <c r="J57" s="11"/>
      <c r="K57" s="11"/>
      <c r="L57" s="11"/>
      <c r="M57" s="11"/>
      <c r="N57" s="11"/>
      <c r="O57" s="11"/>
      <c r="P57" s="11"/>
      <c r="Q57" s="11"/>
      <c r="R57" s="11"/>
      <c r="S57" s="11"/>
      <c r="T57" s="12"/>
      <c r="U57" s="46"/>
      <c r="V57" s="46"/>
      <c r="W57" s="46"/>
      <c r="X57" s="46"/>
      <c r="Y57" s="46"/>
      <c r="Z57" s="46"/>
    </row>
    <row r="58" spans="1:26">
      <c r="A58" s="46"/>
      <c r="B58" s="10"/>
      <c r="C58" s="11"/>
      <c r="D58" s="11"/>
      <c r="E58" s="11"/>
      <c r="F58" s="11"/>
      <c r="G58" s="11"/>
      <c r="H58" s="11"/>
      <c r="I58" s="11"/>
      <c r="J58" s="11"/>
      <c r="K58" s="11"/>
      <c r="L58" s="11"/>
      <c r="M58" s="11"/>
      <c r="N58" s="11"/>
      <c r="O58" s="11"/>
      <c r="P58" s="11"/>
      <c r="Q58" s="11"/>
      <c r="R58" s="11"/>
      <c r="S58" s="11"/>
      <c r="T58" s="12"/>
      <c r="U58" s="46"/>
      <c r="V58" s="46"/>
      <c r="W58" s="46"/>
      <c r="X58" s="46"/>
      <c r="Y58" s="46"/>
      <c r="Z58" s="46"/>
    </row>
    <row r="59" spans="1:26">
      <c r="A59" s="46"/>
      <c r="B59" s="10" t="s">
        <v>483</v>
      </c>
      <c r="C59" s="11"/>
      <c r="D59" s="11"/>
      <c r="E59" s="11"/>
      <c r="F59" s="11"/>
      <c r="G59" s="11"/>
      <c r="H59" s="11"/>
      <c r="I59" s="11"/>
      <c r="J59" s="11"/>
      <c r="K59" s="11"/>
      <c r="L59" s="11"/>
      <c r="M59" s="11"/>
      <c r="N59" s="11"/>
      <c r="O59" s="11"/>
      <c r="P59" s="11"/>
      <c r="Q59" s="11"/>
      <c r="R59" s="11"/>
      <c r="S59" s="11"/>
      <c r="T59" s="12"/>
      <c r="U59" s="46"/>
      <c r="V59" s="46"/>
      <c r="W59" s="46"/>
      <c r="X59" s="46"/>
      <c r="Y59" s="46"/>
      <c r="Z59" s="46"/>
    </row>
    <row r="60" spans="1:26">
      <c r="A60" s="46"/>
      <c r="B60" s="17" t="s">
        <v>484</v>
      </c>
      <c r="C60" s="18"/>
      <c r="D60" s="18"/>
      <c r="E60" s="18"/>
      <c r="F60" s="18"/>
      <c r="G60" s="18"/>
      <c r="H60" s="18"/>
      <c r="I60" s="18"/>
      <c r="J60" s="18"/>
      <c r="K60" s="18"/>
      <c r="L60" s="18"/>
      <c r="M60" s="18"/>
      <c r="N60" s="18"/>
      <c r="O60" s="18"/>
      <c r="P60" s="18"/>
      <c r="Q60" s="18"/>
      <c r="R60" s="18"/>
      <c r="S60" s="18"/>
      <c r="T60" s="19"/>
      <c r="U60" s="46"/>
      <c r="V60" s="46"/>
      <c r="W60" s="46"/>
      <c r="X60" s="46"/>
      <c r="Y60" s="46"/>
      <c r="Z60" s="46"/>
    </row>
    <row r="61" spans="1:26">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c r="A62" s="46"/>
      <c r="B62" s="106" t="s">
        <v>260</v>
      </c>
      <c r="C62" s="8"/>
      <c r="D62" s="8"/>
      <c r="E62" s="8"/>
      <c r="F62" s="8"/>
      <c r="G62" s="8"/>
      <c r="H62" s="8"/>
      <c r="I62" s="8"/>
      <c r="J62" s="8"/>
      <c r="K62" s="8"/>
      <c r="L62" s="8"/>
      <c r="M62" s="8"/>
      <c r="N62" s="8"/>
      <c r="O62" s="8"/>
      <c r="P62" s="8"/>
      <c r="Q62" s="8"/>
      <c r="R62" s="8"/>
      <c r="S62" s="8"/>
      <c r="T62" s="9"/>
      <c r="U62" s="46"/>
      <c r="V62" s="46"/>
      <c r="W62" s="46"/>
      <c r="X62" s="46"/>
      <c r="Y62" s="46"/>
      <c r="Z62" s="46"/>
    </row>
    <row r="63" spans="1:26">
      <c r="A63" s="46"/>
      <c r="B63" s="10"/>
      <c r="C63" s="112"/>
      <c r="D63" s="11"/>
      <c r="E63" s="11"/>
      <c r="F63" s="248"/>
      <c r="G63" s="366"/>
      <c r="H63" s="112"/>
      <c r="I63" s="11"/>
      <c r="J63" s="11"/>
      <c r="K63" s="11"/>
      <c r="L63" s="51"/>
      <c r="M63" s="11"/>
      <c r="N63" s="11"/>
      <c r="O63" s="11"/>
      <c r="P63" s="11"/>
      <c r="Q63" s="11"/>
      <c r="R63" s="11"/>
      <c r="S63" s="11"/>
      <c r="T63" s="12"/>
      <c r="U63" s="46"/>
      <c r="V63" s="46"/>
      <c r="W63" s="46"/>
      <c r="X63" s="46"/>
      <c r="Y63" s="46"/>
      <c r="Z63" s="46"/>
    </row>
    <row r="64" spans="1:26" ht="15">
      <c r="A64" s="46"/>
      <c r="B64" s="10"/>
      <c r="C64" s="112"/>
      <c r="D64" s="11"/>
      <c r="E64" s="11"/>
      <c r="F64" s="15"/>
      <c r="G64" s="367"/>
      <c r="H64" s="11"/>
      <c r="I64" s="11"/>
      <c r="J64" s="11"/>
      <c r="K64" s="212" t="s">
        <v>516</v>
      </c>
      <c r="L64" s="324" t="s">
        <v>691</v>
      </c>
      <c r="M64" s="125"/>
      <c r="N64" s="11"/>
      <c r="O64" s="11"/>
      <c r="P64" s="11"/>
      <c r="Q64" s="11"/>
      <c r="R64" s="11"/>
      <c r="S64" s="11"/>
      <c r="T64" s="12"/>
      <c r="U64" s="46"/>
      <c r="V64" s="46"/>
      <c r="W64" s="46"/>
      <c r="X64" s="46"/>
      <c r="Y64" s="46"/>
      <c r="Z64" s="46"/>
    </row>
    <row r="65" spans="1:26" ht="15">
      <c r="A65" s="46"/>
      <c r="B65" s="10"/>
      <c r="C65" s="125" t="s">
        <v>602</v>
      </c>
      <c r="D65" s="125"/>
      <c r="E65" s="11"/>
      <c r="F65" s="125" t="s">
        <v>692</v>
      </c>
      <c r="G65" s="125"/>
      <c r="H65" s="125"/>
      <c r="I65" s="125"/>
      <c r="J65" s="11"/>
      <c r="K65" s="212" t="s">
        <v>517</v>
      </c>
      <c r="L65" s="125" t="s">
        <v>826</v>
      </c>
      <c r="M65" s="125"/>
      <c r="N65" s="11"/>
      <c r="O65" s="11"/>
      <c r="P65" s="11"/>
      <c r="Q65" s="11"/>
      <c r="R65" s="11"/>
      <c r="S65" s="11"/>
      <c r="T65" s="12"/>
      <c r="U65" s="46"/>
      <c r="V65" s="46"/>
      <c r="W65" s="46"/>
      <c r="X65" s="46"/>
      <c r="Y65" s="46"/>
      <c r="Z65" s="46"/>
    </row>
    <row r="66" spans="1:26" ht="15">
      <c r="A66" s="46"/>
      <c r="B66" s="10"/>
      <c r="C66" s="112"/>
      <c r="D66" s="11"/>
      <c r="E66" s="11"/>
      <c r="F66" s="15"/>
      <c r="G66" s="367"/>
      <c r="H66" s="11"/>
      <c r="I66" s="11"/>
      <c r="J66" s="11"/>
      <c r="K66" s="11"/>
      <c r="L66" s="368" t="s">
        <v>519</v>
      </c>
      <c r="M66" s="11"/>
      <c r="N66" s="11"/>
      <c r="O66" s="11"/>
      <c r="P66" s="11"/>
      <c r="Q66" s="11"/>
      <c r="R66" s="11"/>
      <c r="S66" s="11"/>
      <c r="T66" s="12"/>
      <c r="U66" s="46"/>
      <c r="V66" s="46"/>
      <c r="W66" s="46"/>
      <c r="X66" s="46"/>
      <c r="Y66" s="46"/>
      <c r="Z66" s="46"/>
    </row>
    <row r="67" spans="1:26" ht="15">
      <c r="A67" s="46"/>
      <c r="B67" s="10"/>
      <c r="C67" s="112"/>
      <c r="D67" s="11"/>
      <c r="E67" s="11"/>
      <c r="F67" s="15"/>
      <c r="G67" s="367"/>
      <c r="H67" s="11"/>
      <c r="I67" s="11"/>
      <c r="J67" s="11"/>
      <c r="K67" s="11"/>
      <c r="L67" s="125" t="s">
        <v>676</v>
      </c>
      <c r="M67" s="11"/>
      <c r="N67" s="11"/>
      <c r="O67" s="11"/>
      <c r="P67" s="11"/>
      <c r="Q67" s="11"/>
      <c r="R67" s="11"/>
      <c r="S67" s="11"/>
      <c r="T67" s="12"/>
      <c r="U67" s="46"/>
      <c r="V67" s="46"/>
      <c r="W67" s="46"/>
      <c r="X67" s="46"/>
      <c r="Y67" s="46"/>
      <c r="Z67" s="46"/>
    </row>
    <row r="68" spans="1:26">
      <c r="A68" s="46"/>
      <c r="B68" s="10"/>
      <c r="C68" s="11" t="s">
        <v>693</v>
      </c>
      <c r="D68" s="11"/>
      <c r="E68" s="11"/>
      <c r="F68" s="11"/>
      <c r="G68" s="11"/>
      <c r="H68" s="11"/>
      <c r="I68" s="11"/>
      <c r="J68" s="11"/>
      <c r="K68" s="11"/>
      <c r="L68" s="11"/>
      <c r="M68" s="11"/>
      <c r="N68" s="11"/>
      <c r="O68" s="11"/>
      <c r="P68" s="11"/>
      <c r="Q68" s="11"/>
      <c r="R68" s="11"/>
      <c r="S68" s="11"/>
      <c r="T68" s="12"/>
      <c r="U68" s="46"/>
      <c r="V68" s="46"/>
      <c r="W68" s="46"/>
      <c r="X68" s="46"/>
      <c r="Y68" s="46"/>
      <c r="Z68" s="46"/>
    </row>
    <row r="69" spans="1:26" ht="16.5">
      <c r="A69" s="46"/>
      <c r="B69" s="10"/>
      <c r="C69" s="11" t="s">
        <v>694</v>
      </c>
      <c r="D69" s="11"/>
      <c r="E69" s="11"/>
      <c r="F69" s="11"/>
      <c r="G69" s="11"/>
      <c r="H69" s="11"/>
      <c r="I69" s="11"/>
      <c r="J69" s="11"/>
      <c r="K69" s="11"/>
      <c r="L69" s="11"/>
      <c r="M69" s="11"/>
      <c r="N69" s="11"/>
      <c r="O69" s="11"/>
      <c r="P69" s="11"/>
      <c r="Q69" s="11"/>
      <c r="R69" s="11"/>
      <c r="S69" s="11"/>
      <c r="T69" s="12"/>
      <c r="U69" s="46"/>
      <c r="V69" s="46"/>
      <c r="W69" s="46"/>
      <c r="X69" s="46"/>
      <c r="Y69" s="46"/>
      <c r="Z69" s="46"/>
    </row>
    <row r="70" spans="1:26">
      <c r="A70" s="46"/>
      <c r="B70" s="10"/>
      <c r="C70" s="11"/>
      <c r="D70" s="11"/>
      <c r="E70" s="11"/>
      <c r="F70" s="11"/>
      <c r="G70" s="11"/>
      <c r="H70" s="11"/>
      <c r="I70" s="11"/>
      <c r="J70" s="11"/>
      <c r="K70" s="11"/>
      <c r="L70" s="11"/>
      <c r="M70" s="11"/>
      <c r="N70" s="11"/>
      <c r="O70" s="11"/>
      <c r="P70" s="11"/>
      <c r="Q70" s="11"/>
      <c r="R70" s="11"/>
      <c r="S70" s="11"/>
      <c r="T70" s="12"/>
      <c r="U70" s="46"/>
      <c r="V70" s="46"/>
      <c r="W70" s="46"/>
      <c r="X70" s="46"/>
      <c r="Y70" s="46"/>
      <c r="Z70" s="46"/>
    </row>
    <row r="71" spans="1:26" ht="16.5">
      <c r="A71" s="46"/>
      <c r="B71" s="10"/>
      <c r="C71" s="11" t="s">
        <v>847</v>
      </c>
      <c r="D71" s="11"/>
      <c r="E71" s="11"/>
      <c r="F71" s="11"/>
      <c r="G71" s="11"/>
      <c r="H71" s="11"/>
      <c r="I71" s="11"/>
      <c r="J71" s="11"/>
      <c r="K71" s="11"/>
      <c r="L71" s="11"/>
      <c r="M71" s="11"/>
      <c r="N71" s="11"/>
      <c r="O71" s="11"/>
      <c r="P71" s="11"/>
      <c r="Q71" s="11"/>
      <c r="R71" s="11"/>
      <c r="S71" s="11"/>
      <c r="T71" s="12"/>
      <c r="U71" s="46"/>
      <c r="V71" s="46"/>
      <c r="W71" s="46"/>
      <c r="X71" s="46"/>
      <c r="Y71" s="46"/>
      <c r="Z71" s="46"/>
    </row>
    <row r="72" spans="1:26">
      <c r="A72" s="46"/>
      <c r="B72" s="10"/>
      <c r="C72" s="11"/>
      <c r="D72" s="11"/>
      <c r="E72" s="11"/>
      <c r="F72" s="11"/>
      <c r="G72" s="11"/>
      <c r="H72" s="11"/>
      <c r="I72" s="11"/>
      <c r="J72" s="11"/>
      <c r="K72" s="11"/>
      <c r="L72" s="11"/>
      <c r="M72" s="11"/>
      <c r="N72" s="11"/>
      <c r="O72" s="11"/>
      <c r="P72" s="11"/>
      <c r="Q72" s="11"/>
      <c r="R72" s="11"/>
      <c r="S72" s="11"/>
      <c r="T72" s="12"/>
      <c r="U72" s="46"/>
      <c r="V72" s="46"/>
      <c r="W72" s="46"/>
      <c r="X72" s="46"/>
      <c r="Y72" s="46"/>
      <c r="Z72" s="46"/>
    </row>
    <row r="73" spans="1:26">
      <c r="A73" s="46"/>
      <c r="B73" s="10"/>
      <c r="C73" s="11"/>
      <c r="D73" s="11"/>
      <c r="E73" s="11"/>
      <c r="F73" s="11"/>
      <c r="G73" s="11"/>
      <c r="H73" s="11"/>
      <c r="I73" s="11"/>
      <c r="J73" s="11"/>
      <c r="K73" s="11"/>
      <c r="L73" s="11"/>
      <c r="M73" s="11"/>
      <c r="N73" s="11"/>
      <c r="O73" s="11"/>
      <c r="P73" s="11"/>
      <c r="Q73" s="11"/>
      <c r="R73" s="11"/>
      <c r="S73" s="11"/>
      <c r="T73" s="12"/>
      <c r="U73" s="46"/>
      <c r="V73" s="46"/>
      <c r="W73" s="46"/>
      <c r="X73" s="46"/>
      <c r="Y73" s="46"/>
      <c r="Z73" s="46"/>
    </row>
    <row r="74" spans="1:26">
      <c r="A74" s="46"/>
      <c r="B74" s="10"/>
      <c r="C74" s="11"/>
      <c r="D74" s="11"/>
      <c r="E74" s="11"/>
      <c r="F74" s="11"/>
      <c r="G74" s="11"/>
      <c r="H74" s="11"/>
      <c r="I74" s="11"/>
      <c r="J74" s="11"/>
      <c r="K74" s="11"/>
      <c r="L74" s="11"/>
      <c r="M74" s="11"/>
      <c r="N74" s="11"/>
      <c r="O74" s="11"/>
      <c r="P74" s="11"/>
      <c r="Q74" s="11"/>
      <c r="R74" s="11"/>
      <c r="S74" s="11"/>
      <c r="T74" s="12"/>
      <c r="U74" s="46"/>
      <c r="V74" s="46"/>
      <c r="W74" s="46"/>
      <c r="X74" s="46"/>
      <c r="Y74" s="46"/>
      <c r="Z74" s="46"/>
    </row>
    <row r="75" spans="1:26">
      <c r="A75" s="46"/>
      <c r="B75" s="10"/>
      <c r="C75" s="11"/>
      <c r="D75" s="11"/>
      <c r="E75" s="11"/>
      <c r="F75" s="11"/>
      <c r="G75" s="11"/>
      <c r="H75" s="11"/>
      <c r="I75" s="11"/>
      <c r="J75" s="11"/>
      <c r="K75" s="11"/>
      <c r="L75" s="11"/>
      <c r="M75" s="11"/>
      <c r="N75" s="11"/>
      <c r="O75" s="11"/>
      <c r="P75" s="11"/>
      <c r="Q75" s="11"/>
      <c r="R75" s="11"/>
      <c r="S75" s="11"/>
      <c r="T75" s="12"/>
      <c r="U75" s="46"/>
      <c r="V75" s="46"/>
      <c r="W75" s="46"/>
      <c r="X75" s="46"/>
      <c r="Y75" s="46"/>
      <c r="Z75" s="46"/>
    </row>
    <row r="76" spans="1:26">
      <c r="A76" s="46"/>
      <c r="B76" s="10"/>
      <c r="C76" s="11"/>
      <c r="D76" s="11"/>
      <c r="E76" s="11"/>
      <c r="F76" s="11"/>
      <c r="G76" s="11"/>
      <c r="H76" s="11"/>
      <c r="I76" s="11"/>
      <c r="J76" s="11"/>
      <c r="K76" s="11"/>
      <c r="L76" s="11"/>
      <c r="M76" s="11"/>
      <c r="N76" s="11"/>
      <c r="O76" s="11"/>
      <c r="P76" s="11"/>
      <c r="Q76" s="11"/>
      <c r="R76" s="11"/>
      <c r="S76" s="11"/>
      <c r="T76" s="12"/>
      <c r="U76" s="46"/>
      <c r="V76" s="46"/>
      <c r="W76" s="46"/>
      <c r="X76" s="46"/>
      <c r="Y76" s="46"/>
      <c r="Z76" s="46"/>
    </row>
    <row r="77" spans="1:26">
      <c r="A77" s="46"/>
      <c r="B77" s="17"/>
      <c r="C77" s="18"/>
      <c r="D77" s="18"/>
      <c r="E77" s="18"/>
      <c r="F77" s="18"/>
      <c r="G77" s="18"/>
      <c r="H77" s="18"/>
      <c r="I77" s="18"/>
      <c r="J77" s="18"/>
      <c r="K77" s="18"/>
      <c r="L77" s="18"/>
      <c r="M77" s="18"/>
      <c r="N77" s="18"/>
      <c r="O77" s="18"/>
      <c r="P77" s="18"/>
      <c r="Q77" s="18"/>
      <c r="R77" s="18"/>
      <c r="S77" s="18"/>
      <c r="T77" s="19"/>
      <c r="U77" s="46"/>
      <c r="V77" s="46"/>
      <c r="W77" s="46"/>
      <c r="X77" s="46"/>
      <c r="Y77" s="46"/>
      <c r="Z77" s="46"/>
    </row>
    <row r="78" spans="1:26">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c r="A91" s="46"/>
      <c r="B91" s="46"/>
    </row>
    <row r="92" spans="1:26">
      <c r="A92" s="46"/>
      <c r="B92" s="46"/>
    </row>
    <row r="93" spans="1:26">
      <c r="A93" s="46"/>
      <c r="B93" s="46"/>
    </row>
    <row r="94" spans="1:26">
      <c r="A94" s="46"/>
      <c r="B94" s="46"/>
    </row>
    <row r="95" spans="1:26">
      <c r="A95" s="46"/>
      <c r="B95" s="46"/>
    </row>
    <row r="96" spans="1:26">
      <c r="A96" s="46"/>
      <c r="B96" s="46"/>
    </row>
    <row r="97" spans="1:2">
      <c r="A97" s="46"/>
      <c r="B97" s="46"/>
    </row>
    <row r="98" spans="1:2">
      <c r="A98" s="46"/>
      <c r="B98" s="46"/>
    </row>
    <row r="99" spans="1:2">
      <c r="A99" s="46"/>
      <c r="B99" s="46"/>
    </row>
    <row r="100" spans="1:2">
      <c r="A100" s="46"/>
      <c r="B100" s="46"/>
    </row>
    <row r="101" spans="1:2">
      <c r="A101" s="46"/>
      <c r="B101" s="46"/>
    </row>
    <row r="102" spans="1:2">
      <c r="A102" s="46"/>
      <c r="B102" s="46"/>
    </row>
    <row r="103" spans="1:2">
      <c r="A103" s="46"/>
      <c r="B103" s="46"/>
    </row>
    <row r="104" spans="1:2">
      <c r="A104" s="46"/>
      <c r="B104" s="46"/>
    </row>
    <row r="105" spans="1:2">
      <c r="A105" s="46"/>
      <c r="B105" s="46"/>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38"/>
  <sheetViews>
    <sheetView zoomScaleNormal="100" workbookViewId="0">
      <selection activeCell="J6" sqref="J6"/>
    </sheetView>
  </sheetViews>
  <sheetFormatPr defaultColWidth="9.1796875" defaultRowHeight="14.5"/>
  <cols>
    <col min="1" max="2" width="9.1796875" style="3"/>
    <col min="3" max="3" width="24.81640625" style="3" customWidth="1"/>
    <col min="4" max="4" width="10.7265625" style="3" customWidth="1"/>
    <col min="5" max="5" width="15.6328125" style="3" customWidth="1"/>
    <col min="6" max="6" width="17.36328125" style="3" customWidth="1"/>
    <col min="7" max="7" width="10.7265625" style="3" customWidth="1"/>
    <col min="8" max="8" width="23.81640625" style="3" customWidth="1"/>
    <col min="9" max="10" width="9.1796875" style="3"/>
    <col min="11" max="11" width="24.26953125" style="3" customWidth="1"/>
    <col min="12" max="13" width="9.1796875" style="3"/>
    <col min="14" max="16" width="10.7265625" style="3" customWidth="1"/>
    <col min="17" max="17" width="9.1796875" style="3"/>
    <col min="18" max="18" width="12.7265625" style="3" customWidth="1"/>
    <col min="19" max="16384" width="9.1796875" style="3"/>
  </cols>
  <sheetData>
    <row r="1" spans="1:33">
      <c r="A1" s="46"/>
      <c r="B1" s="46"/>
      <c r="C1" s="7"/>
      <c r="D1" s="8"/>
      <c r="E1" s="8"/>
      <c r="F1" s="8"/>
      <c r="G1" s="8"/>
      <c r="H1" s="8"/>
      <c r="I1" s="8"/>
      <c r="J1" s="8"/>
      <c r="K1" s="8"/>
      <c r="L1" s="8"/>
      <c r="M1" s="8"/>
      <c r="N1" s="8"/>
      <c r="O1" s="8"/>
      <c r="P1" s="8"/>
      <c r="Q1" s="8"/>
      <c r="R1" s="8"/>
      <c r="S1" s="8"/>
      <c r="T1" s="8"/>
      <c r="U1" s="9"/>
      <c r="V1" s="46"/>
      <c r="W1" s="46"/>
      <c r="X1" s="46"/>
      <c r="Y1" s="46"/>
      <c r="Z1" s="46"/>
      <c r="AA1" s="46"/>
      <c r="AB1" s="46"/>
      <c r="AC1" s="46"/>
      <c r="AD1" s="46"/>
      <c r="AE1" s="46"/>
      <c r="AF1" s="46"/>
      <c r="AG1" s="46"/>
    </row>
    <row r="2" spans="1:33">
      <c r="A2" s="46"/>
      <c r="B2" s="46"/>
      <c r="C2" s="10"/>
      <c r="D2" s="11"/>
      <c r="E2" s="11"/>
      <c r="F2" s="11"/>
      <c r="G2" s="11"/>
      <c r="H2" s="11"/>
      <c r="I2" s="11"/>
      <c r="J2" s="11"/>
      <c r="K2" s="11"/>
      <c r="L2" s="11"/>
      <c r="M2" s="11"/>
      <c r="N2" s="11"/>
      <c r="O2" s="11"/>
      <c r="P2" s="11"/>
      <c r="Q2" s="11"/>
      <c r="R2" s="11"/>
      <c r="S2" s="11"/>
      <c r="T2" s="11"/>
      <c r="U2" s="12"/>
      <c r="V2" s="46"/>
      <c r="W2" s="46"/>
      <c r="X2" s="46"/>
      <c r="Y2" s="46"/>
      <c r="Z2" s="46"/>
      <c r="AA2" s="46"/>
      <c r="AB2" s="46"/>
      <c r="AC2" s="46"/>
      <c r="AD2" s="46"/>
      <c r="AE2" s="46"/>
      <c r="AF2" s="46"/>
      <c r="AG2" s="46"/>
    </row>
    <row r="3" spans="1:33">
      <c r="A3" s="46"/>
      <c r="B3" s="46"/>
      <c r="C3" s="10"/>
      <c r="D3" s="11"/>
      <c r="E3" s="11"/>
      <c r="F3" s="11"/>
      <c r="G3" s="11"/>
      <c r="H3" s="11"/>
      <c r="I3" s="11"/>
      <c r="J3" s="11" t="s">
        <v>2</v>
      </c>
      <c r="K3" s="11"/>
      <c r="L3" s="11"/>
      <c r="M3" s="11"/>
      <c r="N3" s="11"/>
      <c r="O3" s="11"/>
      <c r="P3" s="11"/>
      <c r="Q3" s="11"/>
      <c r="R3" s="11"/>
      <c r="S3" s="11"/>
      <c r="T3" s="11"/>
      <c r="U3" s="12"/>
      <c r="V3" s="46"/>
      <c r="W3" s="46"/>
      <c r="X3" s="46"/>
      <c r="Y3" s="46"/>
      <c r="Z3" s="46"/>
      <c r="AA3" s="46"/>
      <c r="AB3" s="46"/>
      <c r="AC3" s="46"/>
      <c r="AD3" s="46"/>
      <c r="AE3" s="46"/>
      <c r="AF3" s="46"/>
      <c r="AG3" s="46"/>
    </row>
    <row r="4" spans="1:33">
      <c r="A4" s="46"/>
      <c r="B4" s="46"/>
      <c r="C4" s="10"/>
      <c r="D4" s="11"/>
      <c r="E4" s="11"/>
      <c r="F4" s="11"/>
      <c r="G4" s="11"/>
      <c r="H4" s="11"/>
      <c r="I4" s="11"/>
      <c r="J4" s="11" t="s">
        <v>4</v>
      </c>
      <c r="K4" s="11"/>
      <c r="L4" s="11"/>
      <c r="M4" s="11"/>
      <c r="N4" s="11"/>
      <c r="O4" s="11"/>
      <c r="P4" s="11"/>
      <c r="Q4" s="11"/>
      <c r="R4" s="11"/>
      <c r="S4" s="11"/>
      <c r="T4" s="11"/>
      <c r="U4" s="12"/>
      <c r="V4" s="46"/>
      <c r="W4" s="46"/>
      <c r="X4" s="46"/>
      <c r="Y4" s="46"/>
      <c r="Z4" s="46"/>
      <c r="AA4" s="46"/>
      <c r="AB4" s="46"/>
      <c r="AC4" s="46"/>
      <c r="AD4" s="46"/>
      <c r="AE4" s="46"/>
      <c r="AF4" s="46"/>
      <c r="AG4" s="46"/>
    </row>
    <row r="5" spans="1:33" s="40" customFormat="1">
      <c r="A5" s="46"/>
      <c r="B5" s="46"/>
      <c r="C5" s="10"/>
      <c r="D5" s="11"/>
      <c r="E5" s="11"/>
      <c r="F5" s="11"/>
      <c r="G5" s="11"/>
      <c r="H5" s="11"/>
      <c r="I5" s="11"/>
      <c r="J5" s="11"/>
      <c r="K5" s="11"/>
      <c r="L5" s="11"/>
      <c r="M5" s="11"/>
      <c r="N5" s="11"/>
      <c r="O5" s="11"/>
      <c r="P5" s="11"/>
      <c r="Q5" s="11"/>
      <c r="R5" s="11"/>
      <c r="S5" s="11"/>
      <c r="T5" s="11"/>
      <c r="U5" s="12"/>
      <c r="V5" s="46"/>
      <c r="W5" s="46"/>
      <c r="X5" s="46"/>
      <c r="Y5" s="46"/>
      <c r="Z5" s="46"/>
      <c r="AA5" s="46"/>
      <c r="AB5" s="46"/>
      <c r="AC5" s="46"/>
      <c r="AD5" s="46"/>
      <c r="AE5" s="46"/>
      <c r="AF5" s="46"/>
      <c r="AG5" s="46"/>
    </row>
    <row r="6" spans="1:33" s="40" customFormat="1">
      <c r="A6" s="46"/>
      <c r="B6" s="46"/>
      <c r="C6" s="10"/>
      <c r="D6" s="11"/>
      <c r="E6" s="11"/>
      <c r="F6" s="11"/>
      <c r="G6" s="11"/>
      <c r="H6" s="732" t="s">
        <v>559</v>
      </c>
      <c r="I6" s="11"/>
      <c r="J6" s="153" t="s">
        <v>897</v>
      </c>
      <c r="K6" s="11"/>
      <c r="L6" s="11"/>
      <c r="M6" s="11"/>
      <c r="N6" s="11"/>
      <c r="O6" s="11"/>
      <c r="P6" s="11"/>
      <c r="Q6" s="11"/>
      <c r="R6" s="11"/>
      <c r="S6" s="11"/>
      <c r="T6" s="11"/>
      <c r="U6" s="12"/>
      <c r="V6" s="46"/>
      <c r="W6" s="46"/>
      <c r="X6" s="46"/>
      <c r="Y6" s="46"/>
      <c r="Z6" s="46"/>
      <c r="AA6" s="46"/>
      <c r="AB6" s="46"/>
      <c r="AC6" s="46"/>
      <c r="AD6" s="46"/>
      <c r="AE6" s="46"/>
      <c r="AF6" s="46"/>
      <c r="AG6" s="46"/>
    </row>
    <row r="7" spans="1:33" s="40" customFormat="1">
      <c r="A7" s="46"/>
      <c r="B7" s="46"/>
      <c r="C7" s="311" t="s">
        <v>0</v>
      </c>
      <c r="D7" s="11"/>
      <c r="E7" s="11"/>
      <c r="F7" s="11"/>
      <c r="G7" s="11"/>
      <c r="H7" s="11"/>
      <c r="I7" s="11"/>
      <c r="J7" s="11"/>
      <c r="K7" s="11"/>
      <c r="L7" s="11"/>
      <c r="M7" s="11"/>
      <c r="N7" s="11"/>
      <c r="O7" s="14" t="s">
        <v>5</v>
      </c>
      <c r="P7" s="11"/>
      <c r="Q7" s="15">
        <f>'Program Overview'!K6</f>
        <v>7</v>
      </c>
      <c r="R7" s="16">
        <f>'Program Overview'!M6</f>
        <v>43752</v>
      </c>
      <c r="S7" s="11"/>
      <c r="T7" s="11"/>
      <c r="U7" s="12"/>
      <c r="V7" s="46"/>
      <c r="W7" s="46"/>
      <c r="X7" s="46"/>
      <c r="Y7" s="46"/>
      <c r="Z7" s="46"/>
      <c r="AA7" s="46"/>
      <c r="AB7" s="46"/>
      <c r="AC7" s="46"/>
      <c r="AD7" s="46"/>
      <c r="AE7" s="46"/>
      <c r="AF7" s="46"/>
      <c r="AG7" s="46"/>
    </row>
    <row r="8" spans="1:33" s="40" customFormat="1">
      <c r="A8" s="46"/>
      <c r="B8" s="46"/>
      <c r="C8" s="311" t="s">
        <v>1</v>
      </c>
      <c r="D8" s="11"/>
      <c r="E8" s="11"/>
      <c r="F8" s="11"/>
      <c r="G8" s="11"/>
      <c r="H8" s="11"/>
      <c r="I8" s="11"/>
      <c r="J8" s="11"/>
      <c r="K8" s="11"/>
      <c r="L8" s="11"/>
      <c r="M8" s="11"/>
      <c r="N8" s="11"/>
      <c r="O8" s="11"/>
      <c r="P8" s="11"/>
      <c r="Q8" s="11"/>
      <c r="R8" s="11"/>
      <c r="S8" s="11"/>
      <c r="T8" s="11"/>
      <c r="U8" s="12"/>
      <c r="V8" s="46"/>
      <c r="W8" s="46"/>
      <c r="X8" s="46"/>
      <c r="Y8" s="46"/>
      <c r="Z8" s="46"/>
      <c r="AA8" s="46"/>
      <c r="AB8" s="46"/>
      <c r="AC8" s="46"/>
      <c r="AD8" s="46"/>
      <c r="AE8" s="46"/>
      <c r="AF8" s="46"/>
      <c r="AG8" s="46"/>
    </row>
    <row r="9" spans="1:33" s="40" customFormat="1">
      <c r="A9" s="46"/>
      <c r="B9" s="46"/>
      <c r="C9" s="10"/>
      <c r="D9" s="11"/>
      <c r="E9" s="11"/>
      <c r="F9" s="11"/>
      <c r="G9" s="11"/>
      <c r="H9" s="11"/>
      <c r="I9" s="11"/>
      <c r="J9" s="11"/>
      <c r="K9" s="11"/>
      <c r="L9" s="11"/>
      <c r="M9" s="11"/>
      <c r="N9" s="11"/>
      <c r="O9" s="11"/>
      <c r="P9" s="11"/>
      <c r="Q9" s="11"/>
      <c r="R9" s="11"/>
      <c r="S9" s="11"/>
      <c r="T9" s="11"/>
      <c r="U9" s="12"/>
      <c r="V9" s="46"/>
      <c r="W9" s="46"/>
      <c r="X9" s="46"/>
      <c r="Y9" s="46"/>
      <c r="Z9" s="46"/>
      <c r="AA9" s="46"/>
      <c r="AB9" s="46"/>
      <c r="AC9" s="46"/>
      <c r="AD9" s="46"/>
      <c r="AE9" s="46"/>
      <c r="AF9" s="46"/>
      <c r="AG9" s="46"/>
    </row>
    <row r="10" spans="1:33" s="40" customFormat="1">
      <c r="A10" s="46"/>
      <c r="B10" s="46"/>
      <c r="C10" s="207"/>
      <c r="D10" s="59"/>
      <c r="E10" s="59"/>
      <c r="F10" s="59"/>
      <c r="G10" s="59"/>
      <c r="H10" s="59" t="s">
        <v>576</v>
      </c>
      <c r="I10" s="59"/>
      <c r="J10" s="59"/>
      <c r="K10" s="59"/>
      <c r="L10" s="59"/>
      <c r="M10" s="59"/>
      <c r="N10" s="59"/>
      <c r="O10" s="59"/>
      <c r="P10" s="59"/>
      <c r="Q10" s="59"/>
      <c r="R10" s="59"/>
      <c r="S10" s="59"/>
      <c r="T10" s="59"/>
      <c r="U10" s="227"/>
      <c r="V10" s="46"/>
      <c r="W10" s="46"/>
      <c r="X10" s="46"/>
      <c r="Y10" s="46"/>
      <c r="Z10" s="46"/>
      <c r="AA10" s="46"/>
      <c r="AB10" s="46"/>
      <c r="AC10" s="46"/>
      <c r="AD10" s="46"/>
      <c r="AE10" s="46"/>
      <c r="AF10" s="46"/>
      <c r="AG10" s="46"/>
    </row>
    <row r="11" spans="1:33" s="40" customFormat="1" ht="7.5" customHeight="1">
      <c r="A11" s="46"/>
      <c r="B11" s="46"/>
      <c r="C11" s="209"/>
      <c r="D11" s="60"/>
      <c r="E11" s="60"/>
      <c r="F11" s="60"/>
      <c r="G11" s="60"/>
      <c r="H11" s="60"/>
      <c r="I11" s="60"/>
      <c r="J11" s="60"/>
      <c r="K11" s="60"/>
      <c r="L11" s="60"/>
      <c r="M11" s="60"/>
      <c r="N11" s="60"/>
      <c r="O11" s="60"/>
      <c r="P11" s="60"/>
      <c r="Q11" s="60"/>
      <c r="R11" s="60"/>
      <c r="S11" s="60"/>
      <c r="T11" s="60"/>
      <c r="U11" s="228"/>
      <c r="V11" s="46"/>
      <c r="W11" s="46"/>
      <c r="X11" s="46"/>
      <c r="Y11" s="46"/>
      <c r="Z11" s="46"/>
      <c r="AA11" s="46"/>
      <c r="AB11" s="46"/>
      <c r="AC11" s="46"/>
      <c r="AD11" s="46"/>
      <c r="AE11" s="46"/>
      <c r="AF11" s="46"/>
      <c r="AG11" s="46"/>
    </row>
    <row r="12" spans="1:33" s="40" customFormat="1">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40" customFormat="1">
      <c r="A13" s="46"/>
      <c r="B13" s="46"/>
      <c r="C13" s="46" t="s">
        <v>765</v>
      </c>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40" customFormat="1" ht="16.5">
      <c r="A14" s="46"/>
      <c r="B14" s="46"/>
      <c r="C14" s="46" t="s">
        <v>636</v>
      </c>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40" customFormat="1">
      <c r="A15" s="46"/>
      <c r="B15" s="46"/>
      <c r="C15" s="46" t="s">
        <v>766</v>
      </c>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40" customFormat="1">
      <c r="A16" s="46"/>
      <c r="B16" s="46"/>
      <c r="C16" s="11" t="s">
        <v>774</v>
      </c>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40" customFormat="1">
      <c r="A17" s="46"/>
      <c r="B17" s="46"/>
      <c r="C17" s="11"/>
      <c r="D17" s="46"/>
      <c r="E17" s="46"/>
      <c r="F17" s="46"/>
      <c r="G17" s="46"/>
      <c r="H17" s="46"/>
      <c r="I17" s="46"/>
      <c r="J17" s="350" t="s">
        <v>782</v>
      </c>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40" customFormat="1">
      <c r="A18" s="46"/>
      <c r="B18" s="46"/>
      <c r="C18" s="112" t="s">
        <v>599</v>
      </c>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40" customForma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40" customFormat="1" ht="39">
      <c r="A20" s="46"/>
      <c r="B20" s="46"/>
      <c r="C20" s="283" t="s">
        <v>577</v>
      </c>
      <c r="D20" s="282" t="s">
        <v>580</v>
      </c>
      <c r="E20" s="315" t="s">
        <v>581</v>
      </c>
      <c r="F20" s="315" t="s">
        <v>610</v>
      </c>
      <c r="G20" s="315" t="s">
        <v>611</v>
      </c>
      <c r="H20" s="282" t="s">
        <v>588</v>
      </c>
      <c r="I20" s="191"/>
      <c r="J20" s="191"/>
      <c r="K20" s="191"/>
      <c r="L20" s="191"/>
      <c r="M20" s="191"/>
      <c r="N20" s="191"/>
      <c r="O20" s="191"/>
      <c r="P20" s="191"/>
      <c r="Q20" s="191"/>
      <c r="R20" s="191"/>
      <c r="S20" s="191"/>
      <c r="T20" s="191"/>
      <c r="U20" s="46"/>
      <c r="V20" s="46"/>
      <c r="W20" s="46"/>
      <c r="X20" s="46"/>
      <c r="Y20" s="46"/>
      <c r="Z20" s="46"/>
      <c r="AA20" s="46"/>
      <c r="AB20" s="46"/>
      <c r="AC20" s="46"/>
      <c r="AD20" s="46"/>
      <c r="AE20" s="46"/>
      <c r="AF20" s="46"/>
      <c r="AG20" s="46"/>
    </row>
    <row r="21" spans="1:33">
      <c r="A21" s="46"/>
      <c r="B21" s="46"/>
      <c r="C21" s="272" t="s">
        <v>578</v>
      </c>
      <c r="D21" s="281">
        <v>80</v>
      </c>
      <c r="E21" s="281">
        <v>80</v>
      </c>
      <c r="F21" s="336">
        <f>0.00002*(10^(D21/20))</f>
        <v>0.2</v>
      </c>
      <c r="G21" s="337">
        <f>0.00002*(10^(E21/20))</f>
        <v>0.2</v>
      </c>
      <c r="H21" s="313">
        <f>G21/F21</f>
        <v>1</v>
      </c>
      <c r="I21" s="191"/>
      <c r="J21" s="191"/>
      <c r="K21" s="191"/>
      <c r="L21" s="191"/>
      <c r="M21" s="191"/>
      <c r="N21" s="191"/>
      <c r="O21" s="191"/>
      <c r="P21" s="191"/>
      <c r="Q21" s="191"/>
      <c r="R21" s="191"/>
      <c r="S21" s="191"/>
      <c r="T21" s="191"/>
      <c r="U21" s="46"/>
      <c r="V21" s="46"/>
      <c r="W21" s="46"/>
      <c r="X21" s="46"/>
      <c r="Y21" s="46"/>
      <c r="Z21" s="46"/>
      <c r="AA21" s="46"/>
      <c r="AB21" s="46"/>
      <c r="AC21" s="46"/>
      <c r="AD21" s="46"/>
      <c r="AE21" s="46"/>
      <c r="AF21" s="46"/>
      <c r="AG21" s="46"/>
    </row>
    <row r="22" spans="1:33">
      <c r="A22" s="46"/>
      <c r="B22" s="46"/>
      <c r="C22" s="272" t="s">
        <v>579</v>
      </c>
      <c r="D22" s="281">
        <v>95</v>
      </c>
      <c r="E22" s="281">
        <v>95</v>
      </c>
      <c r="F22" s="336">
        <f t="shared" ref="F22:F28" si="0">0.00002*(10^(D22/20))</f>
        <v>1.124682650380699</v>
      </c>
      <c r="G22" s="337">
        <f t="shared" ref="G22:G28" si="1">0.00002*(10^(E22/20))</f>
        <v>1.124682650380699</v>
      </c>
      <c r="H22" s="313">
        <f t="shared" ref="H22:H28" si="2">G22/F22</f>
        <v>1</v>
      </c>
      <c r="I22" s="191"/>
      <c r="J22" s="191"/>
      <c r="K22" s="191"/>
      <c r="L22" s="191"/>
      <c r="M22" s="191"/>
      <c r="N22" s="191"/>
      <c r="O22" s="191"/>
      <c r="P22" s="191"/>
      <c r="Q22" s="191"/>
      <c r="R22" s="191"/>
      <c r="S22" s="191"/>
      <c r="T22" s="191"/>
      <c r="U22" s="46"/>
      <c r="V22" s="46"/>
      <c r="W22" s="46"/>
      <c r="X22" s="46"/>
      <c r="Y22" s="46"/>
      <c r="Z22" s="46"/>
      <c r="AA22" s="46"/>
      <c r="AB22" s="46"/>
      <c r="AC22" s="46"/>
      <c r="AD22" s="46"/>
      <c r="AE22" s="46"/>
      <c r="AF22" s="46"/>
      <c r="AG22" s="46"/>
    </row>
    <row r="23" spans="1:33">
      <c r="A23" s="46"/>
      <c r="B23" s="46"/>
      <c r="C23" s="272" t="s">
        <v>582</v>
      </c>
      <c r="D23" s="281">
        <v>90</v>
      </c>
      <c r="E23" s="314">
        <f>'Common ReferenceData Set Output'!H179</f>
        <v>85.178438770276031</v>
      </c>
      <c r="F23" s="336">
        <f t="shared" si="0"/>
        <v>0.63245553203367688</v>
      </c>
      <c r="G23" s="337">
        <f t="shared" si="1"/>
        <v>0.36303787309555058</v>
      </c>
      <c r="H23" s="313">
        <f t="shared" si="2"/>
        <v>0.57401327794255042</v>
      </c>
      <c r="I23" s="191"/>
      <c r="J23" s="191"/>
      <c r="K23" s="191"/>
      <c r="L23" s="191"/>
      <c r="M23" s="191"/>
      <c r="N23" s="191"/>
      <c r="O23" s="191"/>
      <c r="P23" s="191"/>
      <c r="Q23" s="191"/>
      <c r="R23" s="191"/>
      <c r="S23" s="191"/>
      <c r="T23" s="191"/>
      <c r="U23" s="46"/>
      <c r="V23" s="46"/>
      <c r="W23" s="46"/>
      <c r="X23" s="46"/>
      <c r="Y23" s="46"/>
      <c r="Z23" s="46"/>
      <c r="AA23" s="46"/>
      <c r="AB23" s="46"/>
      <c r="AC23" s="46"/>
      <c r="AD23" s="46"/>
      <c r="AE23" s="46"/>
      <c r="AF23" s="46"/>
      <c r="AG23" s="46"/>
    </row>
    <row r="24" spans="1:33">
      <c r="A24" s="46"/>
      <c r="B24" s="46"/>
      <c r="C24" s="272" t="s">
        <v>583</v>
      </c>
      <c r="D24" s="281">
        <v>90</v>
      </c>
      <c r="E24" s="314">
        <f>'Common ReferenceData Set Output'!H180</f>
        <v>88.413394214900563</v>
      </c>
      <c r="F24" s="336">
        <f t="shared" si="0"/>
        <v>0.63245553203367688</v>
      </c>
      <c r="G24" s="337">
        <f t="shared" si="1"/>
        <v>0.52686543352660931</v>
      </c>
      <c r="H24" s="313">
        <f t="shared" si="2"/>
        <v>0.83304739517806115</v>
      </c>
      <c r="I24" s="191"/>
      <c r="J24" s="191"/>
      <c r="K24" s="191"/>
      <c r="L24" s="191"/>
      <c r="M24" s="191"/>
      <c r="N24" s="191"/>
      <c r="O24" s="191"/>
      <c r="P24" s="191"/>
      <c r="Q24" s="191"/>
      <c r="R24" s="191"/>
      <c r="S24" s="191"/>
      <c r="T24" s="191"/>
      <c r="U24" s="46"/>
      <c r="V24" s="46"/>
      <c r="W24" s="46"/>
      <c r="X24" s="46"/>
      <c r="Y24" s="46"/>
      <c r="Z24" s="46"/>
      <c r="AA24" s="46"/>
    </row>
    <row r="25" spans="1:33">
      <c r="A25" s="46"/>
      <c r="B25" s="46"/>
      <c r="C25" s="272" t="s">
        <v>584</v>
      </c>
      <c r="D25" s="281">
        <v>90</v>
      </c>
      <c r="E25" s="314">
        <f>'Common ReferenceData Set Output'!H181</f>
        <v>91.56974230277531</v>
      </c>
      <c r="F25" s="336">
        <f t="shared" si="0"/>
        <v>0.63245553203367688</v>
      </c>
      <c r="G25" s="337">
        <f t="shared" si="1"/>
        <v>0.75773458632283908</v>
      </c>
      <c r="H25" s="313">
        <f t="shared" si="2"/>
        <v>1.1980835773328193</v>
      </c>
      <c r="I25" s="191"/>
      <c r="J25" s="191"/>
      <c r="K25" s="191"/>
      <c r="L25" s="191"/>
      <c r="M25" s="191"/>
      <c r="N25" s="191"/>
      <c r="O25" s="191"/>
      <c r="P25" s="191"/>
      <c r="Q25" s="191"/>
      <c r="R25" s="191"/>
      <c r="S25" s="191"/>
      <c r="T25" s="191"/>
      <c r="U25" s="46"/>
      <c r="V25" s="46"/>
      <c r="W25" s="46"/>
      <c r="X25" s="46"/>
      <c r="Y25" s="46"/>
      <c r="Z25" s="46"/>
      <c r="AA25" s="46"/>
    </row>
    <row r="26" spans="1:33">
      <c r="A26" s="46"/>
      <c r="B26" s="46"/>
      <c r="C26" s="272" t="s">
        <v>585</v>
      </c>
      <c r="D26" s="281">
        <v>93</v>
      </c>
      <c r="E26" s="314">
        <f>E23</f>
        <v>85.178438770276031</v>
      </c>
      <c r="F26" s="336">
        <f t="shared" si="0"/>
        <v>0.89336718430192785</v>
      </c>
      <c r="G26" s="337">
        <f t="shared" si="1"/>
        <v>0.36303787309555058</v>
      </c>
      <c r="H26" s="313">
        <f t="shared" si="2"/>
        <v>0.40637028029994893</v>
      </c>
      <c r="I26" s="191"/>
      <c r="J26" s="191"/>
      <c r="K26" s="191"/>
      <c r="L26" s="191"/>
      <c r="M26" s="191"/>
      <c r="N26" s="191"/>
      <c r="O26" s="191"/>
      <c r="P26" s="191"/>
      <c r="Q26" s="191"/>
      <c r="R26" s="191"/>
      <c r="S26" s="191"/>
      <c r="T26" s="191"/>
      <c r="U26" s="46"/>
      <c r="V26" s="46"/>
      <c r="W26" s="46"/>
      <c r="X26" s="46"/>
      <c r="Y26" s="46"/>
      <c r="Z26" s="46"/>
      <c r="AA26" s="46"/>
    </row>
    <row r="27" spans="1:33">
      <c r="A27" s="46"/>
      <c r="B27" s="46"/>
      <c r="C27" s="272" t="s">
        <v>586</v>
      </c>
      <c r="D27" s="281">
        <v>93</v>
      </c>
      <c r="E27" s="314">
        <f>E24</f>
        <v>88.413394214900563</v>
      </c>
      <c r="F27" s="336">
        <f t="shared" si="0"/>
        <v>0.89336718430192785</v>
      </c>
      <c r="G27" s="337">
        <f t="shared" si="1"/>
        <v>0.52686543352660931</v>
      </c>
      <c r="H27" s="313">
        <f t="shared" si="2"/>
        <v>0.58975239160849524</v>
      </c>
      <c r="I27" s="191"/>
      <c r="J27" s="191"/>
      <c r="K27" s="191"/>
      <c r="L27" s="191"/>
      <c r="M27" s="191"/>
      <c r="N27" s="191"/>
      <c r="O27" s="191"/>
      <c r="P27" s="191"/>
      <c r="Q27" s="191"/>
      <c r="R27" s="191"/>
      <c r="S27" s="191"/>
      <c r="T27" s="191"/>
      <c r="U27" s="46"/>
      <c r="V27" s="46"/>
      <c r="W27" s="46"/>
      <c r="X27" s="46"/>
      <c r="Y27" s="46"/>
      <c r="Z27" s="46"/>
      <c r="AA27" s="46"/>
    </row>
    <row r="28" spans="1:33">
      <c r="A28" s="46"/>
      <c r="B28" s="46"/>
      <c r="C28" s="272" t="s">
        <v>587</v>
      </c>
      <c r="D28" s="281">
        <v>93</v>
      </c>
      <c r="E28" s="314">
        <f>E25</f>
        <v>91.56974230277531</v>
      </c>
      <c r="F28" s="336">
        <f t="shared" si="0"/>
        <v>0.89336718430192785</v>
      </c>
      <c r="G28" s="337">
        <f t="shared" si="1"/>
        <v>0.75773458632283908</v>
      </c>
      <c r="H28" s="313">
        <f t="shared" si="2"/>
        <v>0.84817821791263648</v>
      </c>
      <c r="I28" s="191"/>
      <c r="J28" s="191"/>
      <c r="K28" s="191"/>
      <c r="L28" s="191"/>
      <c r="M28" s="191"/>
      <c r="N28" s="191"/>
      <c r="O28" s="191"/>
      <c r="P28" s="191"/>
      <c r="Q28" s="191"/>
      <c r="R28" s="191"/>
      <c r="S28" s="191"/>
      <c r="T28" s="191"/>
      <c r="U28" s="46"/>
      <c r="V28" s="46"/>
      <c r="W28" s="46"/>
      <c r="X28" s="46"/>
      <c r="Y28" s="46"/>
      <c r="Z28" s="46"/>
      <c r="AA28" s="46"/>
    </row>
    <row r="29" spans="1:33" ht="15" customHeight="1">
      <c r="A29" s="46"/>
      <c r="B29" s="46"/>
      <c r="C29" s="335" t="s">
        <v>606</v>
      </c>
      <c r="D29" s="267"/>
      <c r="E29" s="325"/>
      <c r="F29" s="326"/>
      <c r="G29" s="191"/>
      <c r="H29" s="191"/>
      <c r="I29" s="191"/>
      <c r="J29" s="191"/>
      <c r="K29" s="191"/>
      <c r="L29" s="191"/>
      <c r="M29" s="191"/>
      <c r="N29" s="191"/>
      <c r="O29" s="191"/>
      <c r="P29" s="191"/>
      <c r="Q29" s="191"/>
      <c r="R29" s="191"/>
      <c r="S29" s="191"/>
      <c r="T29" s="191"/>
      <c r="U29" s="46"/>
      <c r="V29" s="46"/>
      <c r="W29" s="46"/>
      <c r="X29" s="46"/>
      <c r="Y29" s="46"/>
      <c r="Z29" s="46"/>
      <c r="AA29" s="46"/>
    </row>
    <row r="30" spans="1:33" ht="15" customHeight="1">
      <c r="A30" s="46"/>
      <c r="B30" s="46"/>
      <c r="C30" s="290" t="s">
        <v>775</v>
      </c>
      <c r="D30" s="267"/>
      <c r="E30" s="325"/>
      <c r="F30" s="326"/>
      <c r="G30" s="191"/>
      <c r="H30" s="191"/>
      <c r="I30" s="191"/>
      <c r="J30" s="191"/>
      <c r="K30" s="191"/>
      <c r="L30" s="191"/>
      <c r="M30" s="191"/>
      <c r="N30" s="191"/>
      <c r="O30" s="191"/>
      <c r="P30" s="191"/>
      <c r="Q30" s="191"/>
      <c r="R30" s="191"/>
      <c r="S30" s="191"/>
      <c r="T30" s="191"/>
      <c r="U30" s="46"/>
      <c r="V30" s="46"/>
      <c r="W30" s="46"/>
      <c r="X30" s="46"/>
      <c r="Y30" s="46"/>
      <c r="Z30" s="46"/>
      <c r="AA30" s="46"/>
    </row>
    <row r="31" spans="1:33" ht="15" customHeight="1">
      <c r="A31" s="46"/>
      <c r="B31" s="46"/>
      <c r="C31" s="290" t="s">
        <v>607</v>
      </c>
      <c r="D31" s="267"/>
      <c r="E31" s="325"/>
      <c r="F31" s="326"/>
      <c r="G31" s="333" t="s">
        <v>609</v>
      </c>
      <c r="H31" s="191"/>
      <c r="I31" s="191"/>
      <c r="J31" s="191"/>
      <c r="K31" s="191"/>
      <c r="L31" s="191"/>
      <c r="M31" s="191"/>
      <c r="N31" s="191"/>
      <c r="O31" s="191"/>
      <c r="P31" s="191"/>
      <c r="Q31" s="191"/>
      <c r="R31" s="191"/>
      <c r="S31" s="191"/>
      <c r="T31" s="191"/>
      <c r="U31" s="46"/>
      <c r="V31" s="46"/>
      <c r="W31" s="46"/>
      <c r="X31" s="46"/>
      <c r="Y31" s="46"/>
      <c r="Z31" s="46"/>
      <c r="AA31" s="46"/>
    </row>
    <row r="32" spans="1:33" ht="15" customHeight="1">
      <c r="A32" s="46"/>
      <c r="B32" s="46"/>
      <c r="C32" s="290" t="s">
        <v>613</v>
      </c>
      <c r="D32" s="267"/>
      <c r="E32" s="325"/>
      <c r="F32" s="326"/>
      <c r="G32" s="191"/>
      <c r="H32" s="191"/>
      <c r="I32" s="191"/>
      <c r="J32" s="191"/>
      <c r="K32" s="191"/>
      <c r="L32" s="191"/>
      <c r="M32" s="191"/>
      <c r="N32" s="191"/>
      <c r="O32" s="191"/>
      <c r="P32" s="191"/>
      <c r="Q32" s="191"/>
      <c r="R32" s="191"/>
      <c r="S32" s="191"/>
      <c r="T32" s="191"/>
      <c r="U32" s="46"/>
      <c r="V32" s="46"/>
      <c r="W32" s="46"/>
      <c r="X32" s="46"/>
      <c r="Y32" s="46"/>
      <c r="Z32" s="46"/>
      <c r="AA32" s="46"/>
    </row>
    <row r="33" spans="1:27" ht="15" customHeight="1">
      <c r="A33" s="46"/>
      <c r="B33" s="46"/>
      <c r="C33" s="290" t="s">
        <v>608</v>
      </c>
      <c r="D33" s="267"/>
      <c r="E33" s="325"/>
      <c r="F33" s="326"/>
      <c r="G33" s="191"/>
      <c r="H33" s="191"/>
      <c r="I33" s="191"/>
      <c r="J33" s="191"/>
      <c r="K33" s="191"/>
      <c r="L33" s="191"/>
      <c r="M33" s="191"/>
      <c r="N33" s="191"/>
      <c r="O33" s="191"/>
      <c r="P33" s="191"/>
      <c r="Q33" s="191"/>
      <c r="R33" s="191"/>
      <c r="S33" s="191"/>
      <c r="T33" s="191"/>
      <c r="U33" s="46"/>
      <c r="V33" s="46"/>
      <c r="W33" s="46"/>
      <c r="X33" s="46"/>
      <c r="Y33" s="46"/>
      <c r="Z33" s="46"/>
      <c r="AA33" s="46"/>
    </row>
    <row r="34" spans="1:27">
      <c r="A34" s="46"/>
      <c r="B34" s="46"/>
      <c r="C34" s="46"/>
      <c r="D34" s="46"/>
      <c r="E34" s="46"/>
      <c r="F34" s="46"/>
      <c r="G34" s="191"/>
      <c r="H34" s="191"/>
      <c r="I34" s="191"/>
      <c r="J34" s="191"/>
      <c r="K34" s="191"/>
      <c r="L34" s="191"/>
      <c r="M34" s="191"/>
      <c r="N34" s="191"/>
      <c r="O34" s="191"/>
      <c r="P34" s="191"/>
      <c r="Q34" s="191"/>
      <c r="R34" s="191"/>
      <c r="S34" s="191"/>
      <c r="T34" s="191"/>
      <c r="U34" s="46"/>
      <c r="V34" s="46"/>
      <c r="W34" s="46"/>
      <c r="X34" s="46"/>
      <c r="Y34" s="46"/>
      <c r="Z34" s="46"/>
      <c r="AA34" s="46"/>
    </row>
    <row r="35" spans="1:27" s="40" customFormat="1">
      <c r="A35" s="46"/>
      <c r="B35" s="46"/>
      <c r="C35" s="46"/>
      <c r="D35" s="46"/>
      <c r="E35" s="46"/>
      <c r="F35" s="46"/>
      <c r="G35" s="191"/>
      <c r="H35" s="191"/>
      <c r="I35" s="191"/>
      <c r="J35" s="191"/>
      <c r="K35" s="191"/>
      <c r="L35" s="191"/>
      <c r="M35" s="191"/>
      <c r="N35" s="191"/>
      <c r="O35" s="191"/>
      <c r="P35" s="191"/>
      <c r="Q35" s="191"/>
      <c r="R35" s="191"/>
      <c r="S35" s="191"/>
      <c r="T35" s="191"/>
      <c r="U35" s="46"/>
      <c r="V35" s="46"/>
      <c r="W35" s="46"/>
      <c r="X35" s="46"/>
      <c r="Y35" s="46"/>
      <c r="Z35" s="46"/>
      <c r="AA35" s="46"/>
    </row>
    <row r="36" spans="1:27" s="40" customFormat="1">
      <c r="A36" s="46"/>
      <c r="B36" s="46"/>
      <c r="C36" s="112" t="s">
        <v>600</v>
      </c>
      <c r="D36" s="267"/>
      <c r="E36" s="325"/>
      <c r="F36" s="326"/>
      <c r="G36" s="191"/>
      <c r="H36" s="191"/>
      <c r="I36" s="191"/>
      <c r="J36" s="46"/>
      <c r="K36" s="46"/>
      <c r="L36" s="46"/>
      <c r="M36" s="46"/>
      <c r="N36" s="46"/>
      <c r="O36" s="46"/>
      <c r="P36" s="46"/>
      <c r="Q36" s="191"/>
      <c r="R36" s="191"/>
      <c r="S36" s="191"/>
      <c r="T36" s="191"/>
      <c r="U36" s="46"/>
      <c r="V36" s="46"/>
      <c r="W36" s="46"/>
      <c r="X36" s="46"/>
      <c r="Y36" s="46"/>
      <c r="Z36" s="46"/>
      <c r="AA36" s="46"/>
    </row>
    <row r="37" spans="1:27">
      <c r="A37" s="46"/>
      <c r="B37" s="46"/>
      <c r="C37" s="191"/>
      <c r="D37" s="191"/>
      <c r="E37" s="325"/>
      <c r="F37" s="326"/>
      <c r="G37" s="191"/>
      <c r="H37" s="191"/>
      <c r="I37" s="191"/>
      <c r="J37" s="191"/>
      <c r="K37" s="191"/>
      <c r="L37" s="191"/>
      <c r="M37" s="191"/>
      <c r="N37" s="191"/>
      <c r="O37" s="191"/>
      <c r="P37" s="191"/>
      <c r="Q37" s="191"/>
      <c r="R37" s="191"/>
      <c r="S37" s="191"/>
      <c r="T37" s="191"/>
      <c r="U37" s="46"/>
      <c r="V37" s="46"/>
      <c r="W37" s="46"/>
      <c r="X37" s="46"/>
      <c r="Y37" s="46"/>
      <c r="Z37" s="46"/>
      <c r="AA37" s="46"/>
    </row>
    <row r="38" spans="1:27" ht="17">
      <c r="A38" s="46"/>
      <c r="B38" s="46"/>
      <c r="C38" s="191" t="s">
        <v>592</v>
      </c>
      <c r="D38" s="191"/>
      <c r="E38" s="325"/>
      <c r="F38" s="326"/>
      <c r="G38" s="191"/>
      <c r="H38" s="191"/>
      <c r="I38" s="191"/>
      <c r="J38" s="40" t="s">
        <v>612</v>
      </c>
      <c r="K38" s="191"/>
      <c r="L38" s="191"/>
      <c r="M38" s="191" t="s">
        <v>776</v>
      </c>
      <c r="N38" s="191"/>
      <c r="O38" s="191"/>
      <c r="P38" s="191"/>
      <c r="Q38" s="191"/>
      <c r="R38" s="191"/>
      <c r="S38" s="191"/>
      <c r="T38" s="191"/>
      <c r="U38" s="46"/>
      <c r="V38" s="46"/>
      <c r="W38" s="46"/>
      <c r="X38" s="46"/>
      <c r="Y38" s="46"/>
      <c r="Z38" s="46"/>
      <c r="AA38" s="46"/>
    </row>
    <row r="39" spans="1:27">
      <c r="A39" s="46"/>
      <c r="B39" s="46"/>
      <c r="C39" s="191"/>
      <c r="D39" s="191"/>
      <c r="E39" s="325"/>
      <c r="F39" s="326"/>
      <c r="G39" s="191"/>
      <c r="H39" s="191"/>
      <c r="I39" s="191"/>
      <c r="J39" s="191"/>
      <c r="K39" s="191"/>
      <c r="L39" s="191"/>
      <c r="M39" s="191"/>
      <c r="N39" s="191"/>
      <c r="O39" s="191" t="s">
        <v>86</v>
      </c>
      <c r="P39" s="191"/>
      <c r="Q39" s="191"/>
      <c r="R39" s="191"/>
      <c r="S39" s="191"/>
      <c r="T39" s="191"/>
      <c r="U39" s="46"/>
      <c r="V39" s="46"/>
      <c r="W39" s="46"/>
      <c r="X39" s="46"/>
      <c r="Y39" s="46"/>
      <c r="Z39" s="46"/>
      <c r="AA39" s="46"/>
    </row>
    <row r="40" spans="1:27" ht="16.5">
      <c r="A40" s="46"/>
      <c r="B40" s="46"/>
      <c r="C40" s="271" t="s">
        <v>506</v>
      </c>
      <c r="D40" s="46"/>
      <c r="E40" s="46"/>
      <c r="F40" s="46"/>
      <c r="G40" s="46"/>
      <c r="H40" s="46"/>
      <c r="I40" s="46"/>
      <c r="J40" s="46"/>
      <c r="K40" s="46"/>
      <c r="L40" s="46"/>
      <c r="M40" s="46"/>
      <c r="N40" s="46" t="s">
        <v>86</v>
      </c>
      <c r="O40" s="46"/>
      <c r="P40" s="46"/>
      <c r="Q40" s="191"/>
      <c r="R40" s="191"/>
      <c r="S40" s="191"/>
      <c r="T40" s="191"/>
      <c r="U40" s="46"/>
      <c r="V40" s="46"/>
      <c r="W40" s="46"/>
      <c r="X40" s="46"/>
      <c r="Y40" s="46"/>
      <c r="Z40" s="46"/>
      <c r="AA40" s="46"/>
    </row>
    <row r="41" spans="1:27">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row>
    <row r="42" spans="1:27">
      <c r="A42" s="46"/>
      <c r="B42" s="46"/>
      <c r="C42" s="431" t="s">
        <v>491</v>
      </c>
      <c r="D42" s="304" t="s">
        <v>30</v>
      </c>
      <c r="E42" s="304" t="s">
        <v>18</v>
      </c>
      <c r="F42" s="46"/>
      <c r="G42" s="109" t="s">
        <v>509</v>
      </c>
      <c r="H42" s="264"/>
      <c r="I42" s="125"/>
      <c r="J42" s="125"/>
      <c r="K42" s="125"/>
      <c r="L42" s="125"/>
      <c r="M42" s="191"/>
      <c r="N42" s="191"/>
      <c r="O42" s="191"/>
      <c r="P42" s="191"/>
      <c r="Q42" s="46"/>
      <c r="R42" s="46"/>
      <c r="S42" s="46"/>
      <c r="T42" s="46"/>
      <c r="U42" s="46"/>
      <c r="V42" s="46"/>
      <c r="W42" s="46"/>
      <c r="X42" s="46"/>
      <c r="Y42" s="46"/>
      <c r="Z42" s="46"/>
      <c r="AA42" s="46"/>
    </row>
    <row r="43" spans="1:27">
      <c r="A43" s="46"/>
      <c r="B43" s="46"/>
      <c r="C43" s="439" t="s">
        <v>492</v>
      </c>
      <c r="D43" s="462">
        <v>8</v>
      </c>
      <c r="E43" s="301" t="s">
        <v>493</v>
      </c>
      <c r="F43" s="46"/>
      <c r="G43" s="109" t="s">
        <v>508</v>
      </c>
      <c r="H43" s="109"/>
      <c r="I43" s="85"/>
      <c r="J43" s="125"/>
      <c r="K43" s="125"/>
      <c r="L43" s="125"/>
      <c r="M43" s="191"/>
      <c r="N43" s="191"/>
      <c r="O43" s="191"/>
      <c r="P43" s="191"/>
      <c r="Q43" s="46"/>
      <c r="R43" s="46"/>
      <c r="S43" s="46"/>
      <c r="T43" s="46"/>
      <c r="U43" s="46"/>
      <c r="V43" s="46"/>
      <c r="W43" s="46"/>
      <c r="X43" s="46"/>
      <c r="Y43" s="46"/>
      <c r="Z43" s="46"/>
      <c r="AA43" s="46"/>
    </row>
    <row r="44" spans="1:27" s="40" customFormat="1">
      <c r="A44" s="46"/>
      <c r="B44" s="46"/>
      <c r="C44" s="436"/>
      <c r="D44" s="479">
        <f>8*60*60</f>
        <v>28800</v>
      </c>
      <c r="E44" s="301" t="s">
        <v>20</v>
      </c>
      <c r="F44" s="109"/>
      <c r="G44" s="264"/>
      <c r="H44" s="109"/>
      <c r="I44" s="85"/>
      <c r="J44" s="125"/>
      <c r="K44" s="125"/>
      <c r="L44" s="125"/>
      <c r="M44" s="191"/>
      <c r="N44" s="191"/>
      <c r="O44" s="191"/>
      <c r="P44" s="191"/>
      <c r="Q44" s="46"/>
      <c r="R44" s="46"/>
      <c r="S44" s="46"/>
      <c r="T44" s="46"/>
      <c r="U44" s="46"/>
      <c r="V44" s="46"/>
      <c r="W44" s="46"/>
      <c r="X44" s="46"/>
      <c r="Y44" s="46"/>
      <c r="Z44" s="46"/>
      <c r="AA44" s="46"/>
    </row>
    <row r="45" spans="1:27" s="40" customFormat="1">
      <c r="A45" s="46"/>
      <c r="B45" s="46"/>
      <c r="C45" s="480" t="s">
        <v>593</v>
      </c>
      <c r="D45" s="301">
        <f>'Passby Data Set 2 Output'!D14</f>
        <v>200.19</v>
      </c>
      <c r="E45" s="301" t="s">
        <v>15</v>
      </c>
      <c r="F45" s="191"/>
      <c r="G45" s="191"/>
      <c r="H45" s="191"/>
      <c r="I45" s="191"/>
      <c r="J45" s="191"/>
      <c r="K45" s="191"/>
      <c r="L45" s="191"/>
      <c r="M45" s="191"/>
      <c r="N45" s="191"/>
      <c r="O45" s="191"/>
      <c r="P45" s="191"/>
      <c r="Q45" s="46"/>
      <c r="R45" s="46"/>
      <c r="S45" s="46"/>
      <c r="T45" s="46"/>
      <c r="U45" s="46"/>
      <c r="V45" s="46"/>
      <c r="W45" s="46"/>
      <c r="X45" s="46"/>
      <c r="Y45" s="46"/>
      <c r="Z45" s="46"/>
      <c r="AA45" s="46"/>
    </row>
    <row r="46" spans="1:27" s="40" customFormat="1">
      <c r="A46" s="46"/>
      <c r="B46" s="46"/>
      <c r="C46" s="191"/>
      <c r="D46" s="191"/>
      <c r="E46" s="191"/>
      <c r="F46" s="191"/>
      <c r="G46" s="191"/>
      <c r="H46" s="191"/>
      <c r="I46" s="191"/>
      <c r="J46" s="191"/>
      <c r="K46" s="191"/>
      <c r="L46" s="191"/>
      <c r="M46" s="191"/>
      <c r="N46" s="191"/>
      <c r="O46" s="191"/>
      <c r="P46" s="191"/>
      <c r="Q46" s="46"/>
      <c r="R46" s="46"/>
      <c r="S46" s="46"/>
      <c r="T46" s="46"/>
      <c r="U46" s="46"/>
      <c r="V46" s="46"/>
      <c r="W46" s="46"/>
      <c r="X46" s="46"/>
      <c r="Y46" s="46"/>
      <c r="Z46" s="46"/>
      <c r="AA46" s="46"/>
    </row>
    <row r="47" spans="1:27" s="40" customFormat="1">
      <c r="A47" s="46"/>
      <c r="B47" s="46"/>
      <c r="C47" s="191"/>
      <c r="D47" s="191"/>
      <c r="E47" s="191"/>
      <c r="F47" s="191"/>
      <c r="G47" s="191"/>
      <c r="H47" s="191"/>
      <c r="I47" s="191"/>
      <c r="J47" s="191"/>
      <c r="K47" s="191"/>
      <c r="L47" s="191"/>
      <c r="M47" s="191"/>
      <c r="N47" s="191"/>
      <c r="O47" s="191"/>
      <c r="P47" s="191"/>
      <c r="Q47" s="46"/>
      <c r="R47" s="46"/>
      <c r="S47" s="46"/>
      <c r="T47" s="46"/>
      <c r="U47" s="46"/>
      <c r="V47" s="46"/>
      <c r="W47" s="46"/>
      <c r="X47" s="46"/>
      <c r="Y47" s="46"/>
      <c r="Z47" s="46"/>
      <c r="AA47" s="46"/>
    </row>
    <row r="48" spans="1:27" s="40" customFormat="1" ht="52">
      <c r="A48" s="46"/>
      <c r="B48" s="46"/>
      <c r="C48" s="522" t="s">
        <v>595</v>
      </c>
      <c r="D48" s="455"/>
      <c r="E48" s="455"/>
      <c r="F48" s="455"/>
      <c r="G48" s="455"/>
      <c r="H48" s="457"/>
      <c r="I48" s="306"/>
      <c r="J48" s="306"/>
      <c r="K48" s="304" t="s">
        <v>577</v>
      </c>
      <c r="L48" s="302" t="s">
        <v>580</v>
      </c>
      <c r="M48" s="302" t="s">
        <v>581</v>
      </c>
      <c r="N48" s="315" t="s">
        <v>610</v>
      </c>
      <c r="O48" s="315" t="s">
        <v>611</v>
      </c>
      <c r="P48" s="302" t="s">
        <v>588</v>
      </c>
      <c r="Q48" s="46"/>
      <c r="R48" s="46"/>
      <c r="S48" s="46"/>
      <c r="T48" s="46"/>
      <c r="U48" s="46"/>
      <c r="V48" s="46"/>
      <c r="W48" s="46"/>
      <c r="X48" s="46"/>
      <c r="Y48" s="46"/>
      <c r="Z48" s="46"/>
      <c r="AA48" s="46"/>
    </row>
    <row r="49" spans="1:27" s="40" customFormat="1">
      <c r="A49" s="46"/>
      <c r="B49" s="46"/>
      <c r="C49" s="276" t="s">
        <v>777</v>
      </c>
      <c r="D49" s="392" t="s">
        <v>20</v>
      </c>
      <c r="E49" s="297">
        <f>$D$45/E52</f>
        <v>9.0085499999999996</v>
      </c>
      <c r="F49" s="297">
        <f>$D$45/F52</f>
        <v>2.882736</v>
      </c>
      <c r="G49" s="297">
        <f t="shared" ref="G49:H49" si="3">$D$45/G52</f>
        <v>2.4022800000000002</v>
      </c>
      <c r="H49" s="297">
        <f t="shared" si="3"/>
        <v>2.0590971428571425</v>
      </c>
      <c r="I49" s="322"/>
      <c r="J49" s="322"/>
      <c r="K49" s="303" t="s">
        <v>578</v>
      </c>
      <c r="L49" s="305">
        <v>80</v>
      </c>
      <c r="M49" s="299">
        <v>80</v>
      </c>
      <c r="N49" s="339">
        <f>0.00002*10^(L49/20)</f>
        <v>0.2</v>
      </c>
      <c r="O49" s="338">
        <f>0.00002*10^(M49/20)</f>
        <v>0.2</v>
      </c>
      <c r="P49" s="329">
        <f>O49/N49</f>
        <v>1</v>
      </c>
      <c r="Q49" s="46"/>
      <c r="R49" s="46"/>
      <c r="S49" s="46"/>
      <c r="T49" s="46"/>
      <c r="U49" s="46"/>
      <c r="V49" s="46"/>
      <c r="W49" s="46"/>
      <c r="X49" s="46"/>
      <c r="Y49" s="46"/>
      <c r="Z49" s="46"/>
      <c r="AA49" s="46"/>
    </row>
    <row r="50" spans="1:27" s="40" customFormat="1" ht="25.5" customHeight="1">
      <c r="A50" s="46"/>
      <c r="B50" s="46"/>
      <c r="C50" s="529" t="s">
        <v>778</v>
      </c>
      <c r="D50" s="532"/>
      <c r="E50" s="530">
        <f>E49/$D$44</f>
        <v>3.1279687499999998E-4</v>
      </c>
      <c r="F50" s="279">
        <f>F49/$D$44</f>
        <v>1.00095E-4</v>
      </c>
      <c r="G50" s="279">
        <f t="shared" ref="G50:H50" si="4">G49/$D$44</f>
        <v>8.3412500000000001E-5</v>
      </c>
      <c r="H50" s="279">
        <f t="shared" si="4"/>
        <v>7.1496428571428557E-5</v>
      </c>
      <c r="I50" s="323"/>
      <c r="J50" s="323"/>
      <c r="K50" s="303" t="s">
        <v>579</v>
      </c>
      <c r="L50" s="305">
        <v>95</v>
      </c>
      <c r="M50" s="299">
        <v>95</v>
      </c>
      <c r="N50" s="339">
        <f t="shared" ref="N50:N58" si="5">0.00002*10^(L50/20)</f>
        <v>1.124682650380699</v>
      </c>
      <c r="O50" s="338">
        <f t="shared" ref="O50:O58" si="6">0.00002*10^(M50/20)</f>
        <v>1.124682650380699</v>
      </c>
      <c r="P50" s="329">
        <f t="shared" ref="P50:P58" si="7">O50/N50</f>
        <v>1</v>
      </c>
      <c r="Q50" s="46"/>
      <c r="R50" s="46"/>
      <c r="S50" s="46"/>
      <c r="T50" s="46"/>
      <c r="U50" s="46"/>
      <c r="V50" s="46"/>
      <c r="W50" s="46"/>
      <c r="X50" s="46"/>
      <c r="Y50" s="46"/>
      <c r="Z50" s="46"/>
      <c r="AA50" s="46"/>
    </row>
    <row r="51" spans="1:27" s="40" customFormat="1">
      <c r="A51" s="46"/>
      <c r="B51" s="46"/>
      <c r="C51" s="641" t="s">
        <v>594</v>
      </c>
      <c r="D51" s="531" t="s">
        <v>19</v>
      </c>
      <c r="E51" s="297">
        <v>80</v>
      </c>
      <c r="F51" s="297">
        <v>250</v>
      </c>
      <c r="G51" s="297">
        <v>300</v>
      </c>
      <c r="H51" s="297">
        <v>350</v>
      </c>
      <c r="I51" s="323"/>
      <c r="J51" s="323"/>
      <c r="K51" s="303" t="s">
        <v>768</v>
      </c>
      <c r="L51" s="218">
        <v>60</v>
      </c>
      <c r="M51" s="299">
        <f>E59</f>
        <v>46.524545678780072</v>
      </c>
      <c r="N51" s="339">
        <f t="shared" si="5"/>
        <v>0.02</v>
      </c>
      <c r="O51" s="338">
        <f t="shared" si="6"/>
        <v>4.2389400996031149E-3</v>
      </c>
      <c r="P51" s="329">
        <f t="shared" si="7"/>
        <v>0.21194700498015573</v>
      </c>
      <c r="Q51" s="46"/>
      <c r="R51" s="46"/>
      <c r="S51" s="46"/>
      <c r="T51" s="46"/>
      <c r="U51" s="46"/>
      <c r="V51" s="46"/>
      <c r="W51" s="46"/>
      <c r="X51" s="46"/>
      <c r="Y51" s="46"/>
      <c r="Z51" s="46"/>
      <c r="AA51" s="46"/>
    </row>
    <row r="52" spans="1:27" s="40" customFormat="1">
      <c r="A52" s="46"/>
      <c r="B52" s="46"/>
      <c r="C52" s="646"/>
      <c r="D52" s="520" t="s">
        <v>243</v>
      </c>
      <c r="E52" s="297">
        <f>E51*1000/3600</f>
        <v>22.222222222222221</v>
      </c>
      <c r="F52" s="297">
        <f>F51*1000/3600</f>
        <v>69.444444444444443</v>
      </c>
      <c r="G52" s="297">
        <f t="shared" ref="G52:H52" si="8">G51*1000/3600</f>
        <v>83.333333333333329</v>
      </c>
      <c r="H52" s="297">
        <f t="shared" si="8"/>
        <v>97.222222222222229</v>
      </c>
      <c r="I52" s="323"/>
      <c r="J52" s="323"/>
      <c r="K52" s="303" t="s">
        <v>769</v>
      </c>
      <c r="L52" s="218">
        <v>60</v>
      </c>
      <c r="M52" s="299">
        <f>E62</f>
        <v>48.285458269336885</v>
      </c>
      <c r="N52" s="339">
        <f t="shared" si="5"/>
        <v>0.02</v>
      </c>
      <c r="O52" s="338">
        <f t="shared" si="6"/>
        <v>5.1916201471250648E-3</v>
      </c>
      <c r="P52" s="329">
        <f t="shared" si="7"/>
        <v>0.25958100735625322</v>
      </c>
      <c r="Q52" s="46"/>
      <c r="R52" s="46"/>
      <c r="S52" s="46"/>
      <c r="T52" s="46"/>
      <c r="U52" s="46"/>
      <c r="V52" s="46"/>
      <c r="W52" s="46"/>
      <c r="X52" s="46"/>
      <c r="Y52" s="46"/>
      <c r="Z52" s="46"/>
      <c r="AA52" s="46"/>
    </row>
    <row r="53" spans="1:27" s="40" customFormat="1" ht="28">
      <c r="A53" s="46"/>
      <c r="B53" s="46"/>
      <c r="C53" s="438" t="s">
        <v>779</v>
      </c>
      <c r="D53" s="305" t="s">
        <v>28</v>
      </c>
      <c r="E53" s="297">
        <f>'Common ReferenceData Set Output'!I176</f>
        <v>65.551321709634976</v>
      </c>
      <c r="F53" s="525">
        <f>'Common ReferenceData Set Output'!I179</f>
        <v>80.503588823321138</v>
      </c>
      <c r="G53" s="525">
        <f>'Common ReferenceData Set Output'!I180</f>
        <v>83.73854426794567</v>
      </c>
      <c r="H53" s="297">
        <f>'Common ReferenceData Set Output'!I181</f>
        <v>86.894892355820417</v>
      </c>
      <c r="I53" s="322"/>
      <c r="J53" s="322"/>
      <c r="K53" s="303" t="s">
        <v>780</v>
      </c>
      <c r="L53" s="218">
        <v>60</v>
      </c>
      <c r="M53" s="299">
        <f>F59</f>
        <v>56.528312575665289</v>
      </c>
      <c r="N53" s="339">
        <f t="shared" si="5"/>
        <v>0.02</v>
      </c>
      <c r="O53" s="338">
        <f t="shared" si="6"/>
        <v>1.3410520193644542E-2</v>
      </c>
      <c r="P53" s="329">
        <f t="shared" si="7"/>
        <v>0.67052600968222709</v>
      </c>
      <c r="Q53" s="46"/>
      <c r="R53" s="46"/>
      <c r="S53" s="46"/>
      <c r="T53" s="46"/>
      <c r="U53" s="46"/>
      <c r="V53" s="46"/>
      <c r="W53" s="46"/>
      <c r="X53" s="46"/>
      <c r="Y53" s="46"/>
      <c r="Z53" s="46"/>
      <c r="AA53" s="46"/>
    </row>
    <row r="54" spans="1:27" s="40" customFormat="1" ht="90.5" customHeight="1">
      <c r="A54" s="46"/>
      <c r="B54" s="46"/>
      <c r="C54" s="523" t="s">
        <v>499</v>
      </c>
      <c r="D54" s="682"/>
      <c r="E54" s="527" t="s">
        <v>507</v>
      </c>
      <c r="F54" s="534"/>
      <c r="G54" s="534"/>
      <c r="H54" s="533"/>
      <c r="I54" s="324"/>
      <c r="J54" s="324"/>
      <c r="K54" s="303" t="s">
        <v>767</v>
      </c>
      <c r="L54" s="218">
        <v>60</v>
      </c>
      <c r="M54" s="299">
        <f>F62</f>
        <v>58.289225166222103</v>
      </c>
      <c r="N54" s="339">
        <f t="shared" si="5"/>
        <v>0.02</v>
      </c>
      <c r="O54" s="338">
        <f t="shared" si="6"/>
        <v>1.6424465829859489E-2</v>
      </c>
      <c r="P54" s="329">
        <f t="shared" si="7"/>
        <v>0.82122329149297446</v>
      </c>
      <c r="Q54" s="11"/>
      <c r="R54" s="11"/>
      <c r="S54" s="46"/>
      <c r="T54" s="46"/>
      <c r="U54" s="46"/>
      <c r="V54" s="46"/>
      <c r="W54" s="46"/>
      <c r="X54" s="46"/>
      <c r="Y54" s="46"/>
      <c r="Z54" s="46"/>
      <c r="AA54" s="46"/>
    </row>
    <row r="55" spans="1:27" s="40" customFormat="1">
      <c r="A55" s="46"/>
      <c r="B55" s="46"/>
      <c r="C55" s="679">
        <v>8</v>
      </c>
      <c r="D55" s="683"/>
      <c r="E55" s="681">
        <f>10*LOG10(C55*$E$50*10^($E$53/10))</f>
        <v>39.534845635419885</v>
      </c>
      <c r="F55" s="526">
        <f>10*LOG10(C55*$F$50*10^($F$53/10))</f>
        <v>49.538612532305102</v>
      </c>
      <c r="G55" s="526">
        <f>10*LOG10(C55*$G$50*10^($G$53/10))</f>
        <v>51.981755516453404</v>
      </c>
      <c r="H55" s="297">
        <f>10*LOG10(C55*$H$50*10^($H$53/10))</f>
        <v>54.468635708021992</v>
      </c>
      <c r="I55" s="322"/>
      <c r="J55" s="322"/>
      <c r="K55" s="303" t="s">
        <v>770</v>
      </c>
      <c r="L55" s="218">
        <v>60</v>
      </c>
      <c r="M55" s="299">
        <f>G59</f>
        <v>58.971455559813592</v>
      </c>
      <c r="N55" s="339">
        <f t="shared" si="5"/>
        <v>0.02</v>
      </c>
      <c r="O55" s="338">
        <f t="shared" si="6"/>
        <v>1.776653654900753E-2</v>
      </c>
      <c r="P55" s="329">
        <f t="shared" si="7"/>
        <v>0.8883268274503765</v>
      </c>
      <c r="Q55" s="46"/>
      <c r="R55" s="46"/>
      <c r="S55" s="46"/>
      <c r="T55" s="46"/>
      <c r="U55" s="46"/>
      <c r="V55" s="46"/>
      <c r="W55" s="46"/>
      <c r="X55" s="46"/>
      <c r="Y55" s="46"/>
      <c r="Z55" s="46"/>
      <c r="AA55" s="46"/>
    </row>
    <row r="56" spans="1:27" s="40" customFormat="1">
      <c r="A56" s="46"/>
      <c r="B56" s="46"/>
      <c r="C56" s="679">
        <v>16</v>
      </c>
      <c r="D56" s="683"/>
      <c r="E56" s="681">
        <f t="shared" ref="E56:E62" si="9">10*LOG10(C56*$E$50*10^($E$53/10))</f>
        <v>42.545145592059697</v>
      </c>
      <c r="F56" s="297">
        <f t="shared" ref="F56:F62" si="10">10*LOG10(C56*$F$50*10^($F$53/10))</f>
        <v>52.548912488944914</v>
      </c>
      <c r="G56" s="297">
        <f t="shared" ref="G56:G62" si="11">10*LOG10(C56*$G$50*10^($G$53/10))</f>
        <v>54.992055473093217</v>
      </c>
      <c r="H56" s="297">
        <f t="shared" ref="H56:H62" si="12">10*LOG10(C56*$H$50*10^($H$53/10))</f>
        <v>57.478935664661805</v>
      </c>
      <c r="I56" s="322"/>
      <c r="J56" s="322"/>
      <c r="K56" s="303" t="s">
        <v>771</v>
      </c>
      <c r="L56" s="218">
        <v>60</v>
      </c>
      <c r="M56" s="299">
        <f>G62</f>
        <v>60.732368150370405</v>
      </c>
      <c r="N56" s="339">
        <f t="shared" si="5"/>
        <v>0.02</v>
      </c>
      <c r="O56" s="338">
        <f t="shared" si="6"/>
        <v>2.1759474520788205E-2</v>
      </c>
      <c r="P56" s="329">
        <f t="shared" si="7"/>
        <v>1.0879737260394102</v>
      </c>
      <c r="Q56" s="46"/>
      <c r="R56" s="46"/>
      <c r="S56" s="46"/>
      <c r="T56" s="46"/>
      <c r="U56" s="46"/>
      <c r="V56" s="46"/>
      <c r="W56" s="46"/>
      <c r="X56" s="46"/>
      <c r="Y56" s="46"/>
      <c r="Z56" s="46"/>
      <c r="AA56" s="46"/>
    </row>
    <row r="57" spans="1:27" s="40" customFormat="1">
      <c r="A57" s="46"/>
      <c r="B57" s="46"/>
      <c r="C57" s="679">
        <v>24</v>
      </c>
      <c r="D57" s="683"/>
      <c r="E57" s="681">
        <f t="shared" si="9"/>
        <v>44.306058182616511</v>
      </c>
      <c r="F57" s="297">
        <f t="shared" si="10"/>
        <v>54.309825079501728</v>
      </c>
      <c r="G57" s="297">
        <f t="shared" si="11"/>
        <v>56.75296806365003</v>
      </c>
      <c r="H57" s="297">
        <f t="shared" si="12"/>
        <v>59.239848255218618</v>
      </c>
      <c r="I57" s="322"/>
      <c r="J57" s="322"/>
      <c r="K57" s="330" t="s">
        <v>772</v>
      </c>
      <c r="L57" s="218">
        <v>60</v>
      </c>
      <c r="M57" s="299">
        <f>H59</f>
        <v>61.458335751382187</v>
      </c>
      <c r="N57" s="339">
        <f t="shared" si="5"/>
        <v>0.02</v>
      </c>
      <c r="O57" s="338">
        <f t="shared" si="6"/>
        <v>2.3656298045937815E-2</v>
      </c>
      <c r="P57" s="329">
        <f t="shared" si="7"/>
        <v>1.1828149022968908</v>
      </c>
      <c r="Q57" s="46"/>
      <c r="R57" s="46"/>
      <c r="S57" s="46"/>
      <c r="T57" s="46"/>
      <c r="U57" s="46"/>
      <c r="V57" s="46"/>
      <c r="W57" s="46"/>
      <c r="X57" s="46"/>
      <c r="Y57" s="46"/>
      <c r="Z57" s="46"/>
      <c r="AA57" s="46"/>
    </row>
    <row r="58" spans="1:27" s="40" customFormat="1">
      <c r="A58" s="46"/>
      <c r="B58" s="46"/>
      <c r="C58" s="679">
        <v>32</v>
      </c>
      <c r="D58" s="683"/>
      <c r="E58" s="681">
        <f t="shared" si="9"/>
        <v>45.55544554869951</v>
      </c>
      <c r="F58" s="297">
        <f t="shared" si="10"/>
        <v>55.559212445584727</v>
      </c>
      <c r="G58" s="297">
        <f t="shared" si="11"/>
        <v>58.002355429733029</v>
      </c>
      <c r="H58" s="297">
        <f t="shared" si="12"/>
        <v>60.489235621301617</v>
      </c>
      <c r="I58" s="322"/>
      <c r="J58" s="322"/>
      <c r="K58" s="330" t="s">
        <v>773</v>
      </c>
      <c r="L58" s="218">
        <v>60</v>
      </c>
      <c r="M58" s="299">
        <f>H62</f>
        <v>63.219248341938993</v>
      </c>
      <c r="N58" s="339">
        <f t="shared" si="5"/>
        <v>0.02</v>
      </c>
      <c r="O58" s="338">
        <f t="shared" si="6"/>
        <v>2.8972929707873175E-2</v>
      </c>
      <c r="P58" s="329">
        <f t="shared" si="7"/>
        <v>1.4486464853936587</v>
      </c>
      <c r="Q58" s="46"/>
      <c r="R58" s="46"/>
      <c r="S58" s="46"/>
      <c r="T58" s="46"/>
      <c r="U58" s="46"/>
      <c r="V58" s="46"/>
      <c r="W58" s="46"/>
      <c r="X58" s="46"/>
      <c r="Y58" s="46"/>
      <c r="Z58" s="46"/>
      <c r="AA58" s="46"/>
    </row>
    <row r="59" spans="1:27" s="40" customFormat="1">
      <c r="A59" s="46"/>
      <c r="B59" s="46"/>
      <c r="C59" s="679">
        <v>40</v>
      </c>
      <c r="D59" s="683"/>
      <c r="E59" s="681">
        <f t="shared" si="9"/>
        <v>46.524545678780072</v>
      </c>
      <c r="F59" s="297">
        <f t="shared" si="10"/>
        <v>56.528312575665289</v>
      </c>
      <c r="G59" s="297">
        <f t="shared" si="11"/>
        <v>58.971455559813592</v>
      </c>
      <c r="H59" s="297">
        <f t="shared" si="12"/>
        <v>61.458335751382187</v>
      </c>
      <c r="I59" s="322"/>
      <c r="J59" s="322"/>
      <c r="K59" s="327"/>
      <c r="L59" s="322"/>
      <c r="M59" s="322"/>
      <c r="N59" s="322"/>
      <c r="O59" s="322"/>
      <c r="P59" s="322"/>
      <c r="Q59" s="46"/>
      <c r="R59" s="46"/>
      <c r="S59" s="46"/>
      <c r="T59" s="46"/>
      <c r="U59" s="46"/>
      <c r="V59" s="46"/>
      <c r="W59" s="46"/>
      <c r="X59" s="46"/>
      <c r="Y59" s="46"/>
      <c r="Z59" s="46"/>
      <c r="AA59" s="46"/>
    </row>
    <row r="60" spans="1:27" s="40" customFormat="1">
      <c r="A60" s="46"/>
      <c r="B60" s="46"/>
      <c r="C60" s="679">
        <v>48</v>
      </c>
      <c r="D60" s="683"/>
      <c r="E60" s="681">
        <f t="shared" si="9"/>
        <v>47.316358139256323</v>
      </c>
      <c r="F60" s="297">
        <f t="shared" si="10"/>
        <v>57.32012503614154</v>
      </c>
      <c r="G60" s="297">
        <f t="shared" si="11"/>
        <v>59.763268020289843</v>
      </c>
      <c r="H60" s="297">
        <f t="shared" si="12"/>
        <v>62.250148211858431</v>
      </c>
      <c r="I60" s="322"/>
      <c r="J60" s="322"/>
      <c r="K60" s="327"/>
      <c r="L60" s="322"/>
      <c r="M60" s="322"/>
      <c r="N60" s="322"/>
      <c r="O60" s="322"/>
      <c r="P60" s="322"/>
      <c r="Q60" s="46"/>
      <c r="R60" s="46"/>
      <c r="S60" s="46"/>
      <c r="T60" s="46"/>
      <c r="U60" s="46"/>
      <c r="V60" s="46"/>
      <c r="W60" s="46"/>
      <c r="X60" s="46"/>
      <c r="Y60" s="46"/>
      <c r="Z60" s="46"/>
      <c r="AA60" s="46"/>
    </row>
    <row r="61" spans="1:27" s="40" customFormat="1">
      <c r="A61" s="46"/>
      <c r="B61" s="46"/>
      <c r="C61" s="679">
        <v>56</v>
      </c>
      <c r="D61" s="683"/>
      <c r="E61" s="681">
        <f t="shared" si="9"/>
        <v>47.985826035562454</v>
      </c>
      <c r="F61" s="297">
        <f t="shared" si="10"/>
        <v>57.989592932447671</v>
      </c>
      <c r="G61" s="297">
        <f t="shared" si="11"/>
        <v>60.432735916595973</v>
      </c>
      <c r="H61" s="297">
        <f t="shared" si="12"/>
        <v>62.919616108164561</v>
      </c>
      <c r="I61" s="322"/>
      <c r="J61" s="322"/>
      <c r="K61" s="327"/>
      <c r="L61" s="322"/>
      <c r="M61" s="322"/>
      <c r="N61" s="322"/>
      <c r="O61" s="322"/>
      <c r="P61" s="322"/>
      <c r="Q61" s="46"/>
      <c r="R61" s="46"/>
      <c r="S61" s="46"/>
      <c r="T61" s="46"/>
      <c r="U61" s="46"/>
      <c r="V61" s="46"/>
      <c r="W61" s="46"/>
      <c r="X61" s="46"/>
      <c r="Y61" s="46"/>
      <c r="Z61" s="46"/>
      <c r="AA61" s="46"/>
    </row>
    <row r="62" spans="1:27" s="40" customFormat="1">
      <c r="A62" s="46"/>
      <c r="B62" s="46"/>
      <c r="C62" s="680">
        <v>60</v>
      </c>
      <c r="D62" s="670"/>
      <c r="E62" s="199">
        <f t="shared" si="9"/>
        <v>48.285458269336885</v>
      </c>
      <c r="F62" s="320">
        <f t="shared" si="10"/>
        <v>58.289225166222103</v>
      </c>
      <c r="G62" s="321">
        <f t="shared" si="11"/>
        <v>60.732368150370405</v>
      </c>
      <c r="H62" s="321">
        <f t="shared" si="12"/>
        <v>63.219248341938993</v>
      </c>
      <c r="I62" s="46"/>
      <c r="J62" s="46"/>
      <c r="K62" s="46"/>
      <c r="L62" s="46"/>
      <c r="M62" s="46"/>
      <c r="N62" s="46"/>
      <c r="O62" s="46"/>
      <c r="P62" s="46"/>
      <c r="Q62" s="46"/>
      <c r="R62" s="46"/>
      <c r="S62" s="46"/>
      <c r="T62" s="46"/>
      <c r="U62" s="46"/>
      <c r="V62" s="46"/>
      <c r="W62" s="46"/>
      <c r="X62" s="46"/>
      <c r="Y62" s="46"/>
      <c r="Z62" s="46"/>
      <c r="AA62" s="46"/>
    </row>
    <row r="63" spans="1:27" s="40" customFormat="1">
      <c r="A63" s="46"/>
      <c r="B63" s="46"/>
      <c r="C63" s="46"/>
      <c r="D63" s="46"/>
      <c r="E63" s="88"/>
      <c r="F63" s="328"/>
      <c r="G63" s="46"/>
      <c r="H63" s="46"/>
      <c r="I63" s="46"/>
      <c r="J63" s="46"/>
      <c r="K63" s="46"/>
      <c r="L63" s="46"/>
      <c r="M63" s="46"/>
      <c r="N63" s="46"/>
      <c r="O63" s="46"/>
      <c r="P63" s="46"/>
      <c r="Q63" s="46"/>
      <c r="R63" s="46"/>
      <c r="S63" s="46"/>
      <c r="T63" s="46"/>
      <c r="U63" s="46"/>
      <c r="V63" s="46"/>
      <c r="W63" s="46"/>
      <c r="X63" s="46"/>
      <c r="Y63" s="46"/>
      <c r="Z63" s="46"/>
      <c r="AA63" s="46"/>
    </row>
    <row r="64" spans="1:27" s="40" customFormat="1">
      <c r="A64" s="46"/>
      <c r="B64" s="46"/>
      <c r="C64" s="46"/>
      <c r="D64" s="46"/>
      <c r="E64" s="88"/>
      <c r="F64" s="328"/>
      <c r="G64" s="46"/>
      <c r="H64" s="46"/>
      <c r="I64" s="46"/>
      <c r="J64" s="46"/>
      <c r="K64" s="46"/>
      <c r="L64" s="46"/>
      <c r="M64" s="46"/>
      <c r="N64" s="46"/>
      <c r="O64" s="46"/>
      <c r="P64" s="46"/>
      <c r="Q64" s="46"/>
      <c r="R64" s="46"/>
      <c r="S64" s="46"/>
      <c r="T64" s="46"/>
      <c r="U64" s="46"/>
      <c r="V64" s="46"/>
      <c r="W64" s="46"/>
      <c r="X64" s="46"/>
      <c r="Y64" s="46"/>
      <c r="Z64" s="46"/>
      <c r="AA64" s="46"/>
    </row>
    <row r="65" spans="1:27" s="40" customFormat="1">
      <c r="A65" s="46"/>
      <c r="B65" s="46"/>
      <c r="C65" s="46"/>
      <c r="D65" s="46"/>
      <c r="E65" s="88"/>
      <c r="F65" s="328"/>
      <c r="G65" s="46"/>
      <c r="H65" s="46"/>
      <c r="I65" s="46"/>
      <c r="J65" s="46"/>
      <c r="K65" s="46"/>
      <c r="L65" s="46"/>
      <c r="M65" s="46"/>
      <c r="N65" s="46"/>
      <c r="O65" s="46"/>
      <c r="P65" s="46"/>
      <c r="Q65" s="46"/>
      <c r="R65" s="46"/>
      <c r="S65" s="46"/>
      <c r="T65" s="46"/>
      <c r="U65" s="46"/>
      <c r="V65" s="46"/>
      <c r="W65" s="46"/>
      <c r="X65" s="46"/>
      <c r="Y65" s="46"/>
      <c r="Z65" s="46"/>
      <c r="AA65" s="46"/>
    </row>
    <row r="66" spans="1:27" s="40" customFormat="1">
      <c r="A66" s="46"/>
      <c r="B66" s="46"/>
      <c r="C66" s="46"/>
      <c r="D66" s="46"/>
      <c r="E66" s="88"/>
      <c r="F66" s="328"/>
      <c r="G66" s="46"/>
      <c r="H66" s="46"/>
      <c r="I66" s="46"/>
      <c r="J66" s="46"/>
      <c r="K66" s="46"/>
      <c r="L66" s="46"/>
      <c r="M66" s="46"/>
      <c r="N66" s="46"/>
      <c r="O66" s="46"/>
      <c r="P66" s="46"/>
      <c r="Q66" s="46"/>
      <c r="R66" s="46"/>
      <c r="S66" s="46"/>
      <c r="T66" s="46"/>
      <c r="U66" s="46"/>
      <c r="V66" s="46"/>
      <c r="W66" s="46"/>
      <c r="X66" s="46"/>
      <c r="Y66" s="46"/>
      <c r="Z66" s="46"/>
      <c r="AA66" s="46"/>
    </row>
    <row r="67" spans="1:27" s="40" customFormat="1">
      <c r="A67" s="46"/>
      <c r="B67" s="46"/>
      <c r="C67" s="46"/>
      <c r="D67" s="46"/>
      <c r="E67" s="88"/>
      <c r="F67" s="328"/>
      <c r="G67" s="46"/>
      <c r="H67" s="46"/>
      <c r="I67" s="46"/>
      <c r="J67" s="46"/>
      <c r="K67" s="46"/>
      <c r="L67" s="46"/>
      <c r="M67" s="46"/>
      <c r="N67" s="46"/>
      <c r="O67" s="46"/>
      <c r="P67" s="46"/>
      <c r="Q67" s="46"/>
      <c r="R67" s="46"/>
      <c r="S67" s="46"/>
      <c r="T67" s="46"/>
      <c r="U67" s="46"/>
      <c r="V67" s="46"/>
      <c r="W67" s="46"/>
      <c r="X67" s="46"/>
      <c r="Y67" s="46"/>
      <c r="Z67" s="46"/>
      <c r="AA67" s="46"/>
    </row>
    <row r="68" spans="1:27" s="40" customFormat="1">
      <c r="A68" s="46"/>
      <c r="B68" s="46"/>
      <c r="C68" s="46"/>
      <c r="D68" s="46"/>
      <c r="E68" s="88"/>
      <c r="F68" s="328"/>
      <c r="G68" s="46"/>
      <c r="H68" s="46"/>
      <c r="I68" s="46"/>
      <c r="J68" s="46"/>
      <c r="K68" s="46"/>
      <c r="L68" s="46"/>
      <c r="M68" s="46"/>
      <c r="N68" s="46"/>
      <c r="O68" s="46"/>
      <c r="P68" s="46"/>
      <c r="Q68" s="46"/>
      <c r="R68" s="46"/>
      <c r="S68" s="46"/>
      <c r="T68" s="46"/>
      <c r="U68" s="46"/>
      <c r="V68" s="46"/>
      <c r="W68" s="46"/>
      <c r="X68" s="46"/>
      <c r="Y68" s="46"/>
      <c r="Z68" s="46"/>
      <c r="AA68" s="46"/>
    </row>
    <row r="69" spans="1:27" s="40" customFormat="1">
      <c r="A69" s="46"/>
      <c r="B69" s="46"/>
      <c r="C69" s="46"/>
      <c r="D69" s="46"/>
      <c r="E69" s="88"/>
      <c r="F69" s="328"/>
      <c r="G69" s="46"/>
      <c r="H69" s="46"/>
      <c r="I69" s="46"/>
      <c r="J69" s="46"/>
      <c r="K69" s="46"/>
      <c r="L69" s="46"/>
      <c r="M69" s="46"/>
      <c r="N69" s="46"/>
      <c r="O69" s="46"/>
      <c r="P69" s="46"/>
      <c r="Q69" s="46"/>
      <c r="R69" s="46"/>
      <c r="S69" s="46"/>
      <c r="T69" s="46"/>
      <c r="U69" s="46"/>
      <c r="V69" s="46"/>
      <c r="W69" s="46"/>
      <c r="X69" s="46"/>
      <c r="Y69" s="46"/>
      <c r="Z69" s="46"/>
      <c r="AA69" s="46"/>
    </row>
    <row r="70" spans="1:27" s="40" customFormat="1">
      <c r="A70" s="46"/>
      <c r="B70" s="46"/>
      <c r="C70" s="46"/>
      <c r="D70" s="46"/>
      <c r="E70" s="88"/>
      <c r="F70" s="328"/>
      <c r="G70" s="46"/>
      <c r="H70" s="46"/>
      <c r="I70" s="46"/>
      <c r="J70" s="46"/>
      <c r="K70" s="46"/>
      <c r="L70" s="46"/>
      <c r="M70" s="46"/>
      <c r="N70" s="46"/>
      <c r="O70" s="46"/>
      <c r="P70" s="46"/>
      <c r="Q70" s="46"/>
      <c r="R70" s="46"/>
      <c r="S70" s="46"/>
      <c r="T70" s="46"/>
      <c r="U70" s="46"/>
      <c r="V70" s="46"/>
      <c r="W70" s="46"/>
      <c r="X70" s="46"/>
      <c r="Y70" s="46"/>
      <c r="Z70" s="46"/>
      <c r="AA70" s="46"/>
    </row>
    <row r="71" spans="1:27" s="40" customFormat="1">
      <c r="A71" s="46"/>
      <c r="B71" s="46"/>
      <c r="C71" s="46"/>
      <c r="D71" s="46"/>
      <c r="E71" s="88"/>
      <c r="F71" s="328"/>
      <c r="G71" s="46"/>
      <c r="H71" s="46"/>
      <c r="I71" s="46"/>
      <c r="J71" s="46"/>
      <c r="K71" s="46"/>
      <c r="L71" s="46"/>
      <c r="M71" s="46"/>
      <c r="N71" s="46"/>
      <c r="O71" s="46"/>
      <c r="P71" s="46"/>
      <c r="Q71" s="46"/>
      <c r="R71" s="46"/>
      <c r="S71" s="46"/>
      <c r="T71" s="46"/>
      <c r="U71" s="46"/>
      <c r="V71" s="46"/>
      <c r="W71" s="46"/>
      <c r="X71" s="46"/>
      <c r="Y71" s="46"/>
      <c r="Z71" s="46"/>
      <c r="AA71" s="46"/>
    </row>
    <row r="72" spans="1:27" s="40" customFormat="1">
      <c r="A72" s="46"/>
      <c r="B72" s="46"/>
      <c r="C72" s="46"/>
      <c r="D72" s="46"/>
      <c r="E72" s="88"/>
      <c r="F72" s="328"/>
      <c r="G72" s="46"/>
      <c r="H72" s="46"/>
      <c r="I72" s="46"/>
      <c r="J72" s="46"/>
      <c r="K72" s="46"/>
      <c r="L72" s="46"/>
      <c r="M72" s="46"/>
      <c r="N72" s="46"/>
      <c r="O72" s="46"/>
      <c r="P72" s="46"/>
      <c r="Q72" s="46"/>
      <c r="R72" s="46"/>
      <c r="S72" s="46"/>
      <c r="T72" s="46"/>
      <c r="U72" s="46"/>
      <c r="V72" s="46"/>
      <c r="W72" s="46"/>
      <c r="X72" s="46"/>
      <c r="Y72" s="46"/>
      <c r="Z72" s="46"/>
      <c r="AA72" s="46"/>
    </row>
    <row r="73" spans="1:27" s="40" customFormat="1">
      <c r="A73" s="46"/>
      <c r="B73" s="46"/>
      <c r="C73" s="46"/>
      <c r="D73" s="46"/>
      <c r="E73" s="88"/>
      <c r="F73" s="328"/>
      <c r="G73" s="46"/>
      <c r="H73" s="46"/>
      <c r="I73" s="46"/>
      <c r="J73" s="46"/>
      <c r="K73" s="46"/>
      <c r="L73" s="46"/>
      <c r="M73" s="46"/>
      <c r="N73" s="46"/>
      <c r="O73" s="46"/>
      <c r="P73" s="46"/>
      <c r="Q73" s="46"/>
      <c r="R73" s="46"/>
      <c r="S73" s="46"/>
      <c r="T73" s="46"/>
      <c r="U73" s="46"/>
      <c r="V73" s="46"/>
      <c r="W73" s="46"/>
      <c r="X73" s="46"/>
      <c r="Y73" s="46"/>
      <c r="Z73" s="46"/>
      <c r="AA73" s="46"/>
    </row>
    <row r="74" spans="1:27" s="40" customFormat="1">
      <c r="A74" s="46"/>
      <c r="B74" s="46"/>
      <c r="C74" s="46"/>
      <c r="D74" s="46"/>
      <c r="E74" s="88"/>
      <c r="F74" s="328"/>
      <c r="G74" s="46"/>
      <c r="H74" s="46"/>
      <c r="I74" s="46"/>
      <c r="J74" s="46"/>
      <c r="K74" s="46"/>
      <c r="L74" s="46"/>
      <c r="M74" s="46"/>
      <c r="N74" s="46"/>
      <c r="O74" s="46"/>
      <c r="P74" s="46"/>
      <c r="Q74" s="46"/>
      <c r="R74" s="46"/>
      <c r="S74" s="46"/>
      <c r="T74" s="46"/>
      <c r="U74" s="46"/>
      <c r="V74" s="46"/>
      <c r="W74" s="46"/>
      <c r="X74" s="46"/>
      <c r="Y74" s="46"/>
      <c r="Z74" s="46"/>
      <c r="AA74" s="46"/>
    </row>
    <row r="75" spans="1:27" s="40" customFormat="1">
      <c r="A75" s="46"/>
      <c r="B75" s="46"/>
      <c r="C75" s="46"/>
      <c r="D75" s="46"/>
      <c r="E75" s="88"/>
      <c r="F75" s="328"/>
      <c r="G75" s="46"/>
      <c r="H75" s="46"/>
      <c r="I75" s="46"/>
      <c r="J75" s="46"/>
      <c r="K75" s="46"/>
      <c r="L75" s="46"/>
      <c r="M75" s="46"/>
      <c r="N75" s="46"/>
      <c r="O75" s="46"/>
      <c r="P75" s="46"/>
      <c r="Q75" s="46"/>
      <c r="R75" s="46"/>
      <c r="S75" s="46"/>
      <c r="T75" s="46"/>
      <c r="U75" s="46"/>
      <c r="V75" s="46"/>
      <c r="W75" s="46"/>
      <c r="X75" s="46"/>
      <c r="Y75" s="46"/>
      <c r="Z75" s="46"/>
      <c r="AA75" s="46"/>
    </row>
    <row r="76" spans="1:27" s="40" customFormat="1">
      <c r="A76" s="46"/>
      <c r="B76" s="46"/>
      <c r="C76" s="46"/>
      <c r="D76" s="46"/>
      <c r="E76" s="88"/>
      <c r="F76" s="328"/>
      <c r="G76" s="46"/>
      <c r="H76" s="46"/>
      <c r="I76" s="46"/>
      <c r="J76" s="46"/>
      <c r="K76" s="46"/>
      <c r="L76" s="46"/>
      <c r="M76" s="46"/>
      <c r="N76" s="46"/>
      <c r="O76" s="46"/>
      <c r="P76" s="46"/>
      <c r="Q76" s="46"/>
      <c r="R76" s="46"/>
      <c r="S76" s="46"/>
      <c r="T76" s="46"/>
      <c r="U76" s="46"/>
      <c r="V76" s="46"/>
      <c r="W76" s="46"/>
      <c r="X76" s="46"/>
      <c r="Y76" s="46"/>
      <c r="Z76" s="46"/>
      <c r="AA76" s="46"/>
    </row>
    <row r="77" spans="1:27" s="40" customFormat="1">
      <c r="A77" s="46"/>
      <c r="B77" s="46"/>
      <c r="C77" s="46"/>
      <c r="D77" s="46"/>
      <c r="E77" s="88"/>
      <c r="F77" s="328"/>
      <c r="G77" s="46"/>
      <c r="H77" s="46"/>
      <c r="I77" s="46"/>
      <c r="J77" s="46"/>
      <c r="K77" s="46"/>
      <c r="L77" s="46"/>
      <c r="M77" s="46"/>
      <c r="N77" s="46"/>
      <c r="O77" s="46"/>
      <c r="P77" s="46"/>
      <c r="Q77" s="46"/>
      <c r="R77" s="46"/>
      <c r="S77" s="46"/>
      <c r="T77" s="46"/>
      <c r="U77" s="46"/>
      <c r="V77" s="46"/>
      <c r="W77" s="46"/>
      <c r="X77" s="46"/>
      <c r="Y77" s="46"/>
      <c r="Z77" s="46"/>
      <c r="AA77" s="46"/>
    </row>
    <row r="78" spans="1:27" s="40" customFormat="1">
      <c r="A78" s="46"/>
      <c r="B78" s="46"/>
      <c r="C78" s="46"/>
      <c r="D78" s="46"/>
      <c r="E78" s="88"/>
      <c r="F78" s="328"/>
      <c r="G78" s="46"/>
      <c r="H78" s="46"/>
      <c r="I78" s="46"/>
      <c r="J78" s="46"/>
      <c r="K78" s="46"/>
      <c r="L78" s="46"/>
      <c r="M78" s="46"/>
      <c r="N78" s="46"/>
      <c r="O78" s="46"/>
      <c r="P78" s="46"/>
      <c r="Q78" s="46"/>
      <c r="R78" s="46"/>
      <c r="S78" s="46"/>
      <c r="T78" s="46"/>
      <c r="U78" s="46"/>
      <c r="V78" s="46"/>
      <c r="W78" s="46"/>
      <c r="X78" s="46"/>
      <c r="Y78" s="46"/>
      <c r="Z78" s="46"/>
      <c r="AA78" s="46"/>
    </row>
    <row r="79" spans="1:27" s="40" customFormat="1">
      <c r="A79" s="46"/>
      <c r="B79" s="46"/>
      <c r="C79" s="46"/>
      <c r="D79" s="46"/>
      <c r="E79" s="88"/>
      <c r="F79" s="328"/>
      <c r="G79" s="46"/>
      <c r="H79" s="46"/>
      <c r="I79" s="46"/>
      <c r="J79" s="46"/>
      <c r="K79" s="46"/>
      <c r="L79" s="46"/>
      <c r="M79" s="46"/>
      <c r="N79" s="46"/>
      <c r="O79" s="46"/>
      <c r="P79" s="46"/>
      <c r="Q79" s="46"/>
      <c r="R79" s="46"/>
      <c r="S79" s="46"/>
      <c r="T79" s="46"/>
      <c r="U79" s="46"/>
      <c r="V79" s="46"/>
      <c r="W79" s="46"/>
      <c r="X79" s="46"/>
      <c r="Y79" s="46"/>
      <c r="Z79" s="46"/>
      <c r="AA79" s="46"/>
    </row>
    <row r="80" spans="1:27" s="40" customFormat="1">
      <c r="A80" s="46"/>
      <c r="B80" s="46"/>
      <c r="C80" s="46"/>
      <c r="D80" s="46"/>
      <c r="E80" s="88"/>
      <c r="F80" s="328"/>
      <c r="G80" s="46"/>
      <c r="H80" s="46"/>
      <c r="I80" s="46"/>
      <c r="J80" s="46"/>
      <c r="K80" s="46"/>
      <c r="L80" s="46"/>
      <c r="M80" s="46"/>
      <c r="N80" s="46"/>
      <c r="O80" s="46"/>
      <c r="P80" s="46"/>
      <c r="Q80" s="46"/>
      <c r="R80" s="46"/>
      <c r="S80" s="46"/>
      <c r="T80" s="46"/>
      <c r="U80" s="46"/>
      <c r="V80" s="46"/>
      <c r="W80" s="46"/>
      <c r="X80" s="46"/>
      <c r="Y80" s="46"/>
      <c r="Z80" s="46"/>
      <c r="AA80" s="46"/>
    </row>
    <row r="81" spans="1:27" s="40" customFormat="1">
      <c r="A81" s="46"/>
      <c r="B81" s="46"/>
      <c r="C81" s="46"/>
      <c r="D81" s="46"/>
      <c r="E81" s="88"/>
      <c r="F81" s="328"/>
      <c r="G81" s="46"/>
      <c r="H81" s="46"/>
      <c r="I81" s="46"/>
      <c r="J81" s="46"/>
      <c r="K81" s="46"/>
      <c r="L81" s="46"/>
      <c r="M81" s="46"/>
      <c r="N81" s="46"/>
      <c r="O81" s="46"/>
      <c r="P81" s="46"/>
      <c r="Q81" s="46"/>
      <c r="R81" s="46"/>
      <c r="S81" s="46"/>
      <c r="T81" s="46"/>
      <c r="U81" s="46"/>
      <c r="V81" s="46"/>
      <c r="W81" s="46"/>
      <c r="X81" s="46"/>
      <c r="Y81" s="46"/>
      <c r="Z81" s="46"/>
      <c r="AA81" s="46"/>
    </row>
    <row r="82" spans="1:27" s="40" customFormat="1">
      <c r="A82" s="46"/>
      <c r="B82" s="46"/>
      <c r="C82" s="46"/>
      <c r="D82" s="46"/>
      <c r="E82" s="88"/>
      <c r="F82" s="328"/>
      <c r="G82" s="46"/>
      <c r="H82" s="46"/>
      <c r="I82" s="46"/>
      <c r="J82" s="46"/>
      <c r="K82" s="46"/>
      <c r="L82" s="46"/>
      <c r="M82" s="46"/>
      <c r="N82" s="46"/>
      <c r="O82" s="46"/>
      <c r="P82" s="46"/>
      <c r="Q82" s="46"/>
      <c r="R82" s="46"/>
      <c r="S82" s="46"/>
      <c r="T82" s="46"/>
      <c r="U82" s="46"/>
      <c r="V82" s="46"/>
      <c r="W82" s="46"/>
      <c r="X82" s="46"/>
      <c r="Y82" s="46"/>
      <c r="Z82" s="46"/>
      <c r="AA82" s="46"/>
    </row>
    <row r="83" spans="1:27" s="40" customFormat="1">
      <c r="A83" s="46"/>
      <c r="B83" s="46"/>
      <c r="C83" s="46"/>
      <c r="D83" s="46"/>
      <c r="E83" s="88"/>
      <c r="F83" s="328"/>
      <c r="G83" s="46"/>
      <c r="H83" s="46"/>
      <c r="I83" s="46"/>
      <c r="J83" s="46"/>
      <c r="K83" s="46"/>
      <c r="L83" s="46"/>
      <c r="M83" s="46"/>
      <c r="N83" s="46"/>
      <c r="O83" s="46"/>
      <c r="P83" s="46"/>
      <c r="Q83" s="46"/>
      <c r="R83" s="46"/>
      <c r="S83" s="46"/>
      <c r="T83" s="46"/>
      <c r="U83" s="46"/>
      <c r="V83" s="46"/>
      <c r="W83" s="46"/>
      <c r="X83" s="46"/>
      <c r="Y83" s="46"/>
      <c r="Z83" s="46"/>
      <c r="AA83" s="46"/>
    </row>
    <row r="84" spans="1:27" s="40" customFormat="1">
      <c r="A84" s="46"/>
      <c r="B84" s="46"/>
      <c r="C84" s="46"/>
      <c r="D84" s="46"/>
      <c r="E84" s="88"/>
      <c r="F84" s="328"/>
      <c r="G84" s="46"/>
      <c r="H84" s="46"/>
      <c r="I84" s="46"/>
      <c r="J84" s="46"/>
      <c r="K84" s="46"/>
      <c r="L84" s="46"/>
      <c r="M84" s="46"/>
      <c r="N84" s="46"/>
      <c r="O84" s="46"/>
      <c r="P84" s="46"/>
      <c r="Q84" s="46"/>
      <c r="R84" s="46"/>
      <c r="S84" s="46"/>
      <c r="T84" s="46"/>
      <c r="U84" s="46"/>
      <c r="V84" s="46"/>
      <c r="W84" s="46"/>
      <c r="X84" s="46"/>
      <c r="Y84" s="46"/>
      <c r="Z84" s="46"/>
      <c r="AA84" s="46"/>
    </row>
    <row r="85" spans="1:27" s="40" customFormat="1">
      <c r="A85" s="46"/>
      <c r="B85" s="46"/>
      <c r="C85" s="46"/>
      <c r="D85" s="46"/>
      <c r="E85" s="88"/>
      <c r="F85" s="328"/>
      <c r="G85" s="46"/>
      <c r="H85" s="46"/>
      <c r="I85" s="46"/>
      <c r="J85" s="46"/>
      <c r="K85" s="46"/>
      <c r="L85" s="46"/>
      <c r="M85" s="46"/>
      <c r="N85" s="46"/>
      <c r="O85" s="46" t="s">
        <v>86</v>
      </c>
      <c r="P85" s="46"/>
      <c r="Q85" s="46"/>
      <c r="R85" s="46"/>
      <c r="S85" s="46"/>
      <c r="T85" s="46"/>
      <c r="U85" s="46"/>
      <c r="V85" s="46"/>
      <c r="W85" s="46"/>
      <c r="X85" s="46"/>
      <c r="Y85" s="46"/>
      <c r="Z85" s="46"/>
      <c r="AA85" s="46"/>
    </row>
    <row r="86" spans="1:27" s="40" customFormat="1">
      <c r="A86" s="46"/>
      <c r="B86" s="46"/>
      <c r="C86" s="46"/>
      <c r="D86" s="46"/>
      <c r="E86" s="88"/>
      <c r="F86" s="328"/>
      <c r="G86" s="46"/>
      <c r="H86" s="46"/>
      <c r="I86" s="46"/>
      <c r="J86" s="46"/>
      <c r="K86" s="46"/>
      <c r="L86" s="46"/>
      <c r="M86" s="46"/>
      <c r="N86" s="46"/>
      <c r="O86" s="46"/>
      <c r="P86" s="46"/>
      <c r="Q86" s="46"/>
      <c r="R86" s="46"/>
      <c r="S86" s="46"/>
      <c r="T86" s="46"/>
      <c r="U86" s="46"/>
      <c r="V86" s="46"/>
      <c r="W86" s="46"/>
      <c r="X86" s="46"/>
      <c r="Y86" s="46"/>
      <c r="Z86" s="46"/>
      <c r="AA86" s="46"/>
    </row>
    <row r="87" spans="1:27" s="40" customFormat="1">
      <c r="A87" s="46"/>
      <c r="B87" s="46"/>
      <c r="C87" s="46"/>
      <c r="D87" s="46"/>
      <c r="E87" s="88"/>
      <c r="F87" s="328"/>
      <c r="G87" s="46"/>
      <c r="H87" s="46"/>
      <c r="I87" s="46"/>
      <c r="J87" s="46"/>
      <c r="K87" s="46"/>
      <c r="L87" s="46"/>
      <c r="M87" s="46"/>
      <c r="N87" s="46"/>
      <c r="O87" s="46"/>
      <c r="P87" s="46"/>
      <c r="Q87" s="46"/>
      <c r="R87" s="46"/>
      <c r="S87" s="46"/>
      <c r="T87" s="46"/>
      <c r="U87" s="46"/>
      <c r="V87" s="46"/>
      <c r="W87" s="46"/>
      <c r="X87" s="46"/>
      <c r="Y87" s="46"/>
      <c r="Z87" s="46"/>
      <c r="AA87" s="46"/>
    </row>
    <row r="88" spans="1:27" s="40" customFormat="1" ht="16.5">
      <c r="A88" s="46"/>
      <c r="B88" s="46"/>
      <c r="C88" s="271" t="s">
        <v>510</v>
      </c>
      <c r="D88" s="46"/>
      <c r="E88" s="46"/>
      <c r="F88" s="46"/>
      <c r="G88" s="46"/>
      <c r="H88" s="46"/>
      <c r="I88" s="46"/>
      <c r="J88" s="46"/>
      <c r="K88" s="46"/>
      <c r="L88" s="46"/>
      <c r="M88" s="46"/>
      <c r="N88" s="46"/>
      <c r="O88" s="46"/>
      <c r="P88" s="46"/>
      <c r="Q88" s="46"/>
      <c r="R88" s="46"/>
      <c r="S88" s="46"/>
      <c r="T88" s="46"/>
      <c r="U88" s="46"/>
      <c r="V88" s="46"/>
      <c r="W88" s="46"/>
      <c r="X88" s="46"/>
      <c r="Y88" s="46"/>
      <c r="Z88" s="46"/>
      <c r="AA88" s="46"/>
    </row>
    <row r="89" spans="1:27" s="40" customForma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row>
    <row r="90" spans="1:27" s="40" customFormat="1">
      <c r="A90" s="46"/>
      <c r="B90" s="46"/>
      <c r="C90" s="494" t="s">
        <v>491</v>
      </c>
      <c r="D90" s="304" t="s">
        <v>30</v>
      </c>
      <c r="E90" s="304" t="s">
        <v>18</v>
      </c>
      <c r="F90" s="46"/>
      <c r="G90" s="109" t="s">
        <v>509</v>
      </c>
      <c r="H90" s="264"/>
      <c r="I90" s="125"/>
      <c r="J90" s="125"/>
      <c r="K90" s="125"/>
      <c r="L90" s="125"/>
      <c r="M90" s="191"/>
      <c r="N90" s="191"/>
      <c r="O90" s="46"/>
      <c r="P90" s="46"/>
      <c r="Q90" s="46"/>
      <c r="R90" s="46"/>
      <c r="S90" s="46"/>
      <c r="T90" s="46"/>
      <c r="U90" s="46"/>
      <c r="V90" s="46"/>
      <c r="W90" s="46"/>
      <c r="X90" s="46"/>
      <c r="Y90" s="46"/>
      <c r="Z90" s="46"/>
      <c r="AA90" s="46"/>
    </row>
    <row r="91" spans="1:27" s="40" customFormat="1">
      <c r="A91" s="46"/>
      <c r="B91" s="46"/>
      <c r="C91" s="655" t="s">
        <v>596</v>
      </c>
      <c r="D91" s="462">
        <v>16</v>
      </c>
      <c r="E91" s="301" t="s">
        <v>493</v>
      </c>
      <c r="F91" s="46"/>
      <c r="G91" s="109" t="s">
        <v>508</v>
      </c>
      <c r="H91" s="109"/>
      <c r="I91" s="85"/>
      <c r="J91" s="125"/>
      <c r="K91" s="125"/>
      <c r="L91" s="125"/>
      <c r="M91" s="191"/>
      <c r="N91" s="191"/>
      <c r="O91" s="46"/>
      <c r="P91" s="46"/>
      <c r="Q91" s="46"/>
      <c r="R91" s="46"/>
      <c r="S91" s="46"/>
      <c r="T91" s="46"/>
      <c r="U91" s="46"/>
      <c r="V91" s="46"/>
      <c r="W91" s="46"/>
      <c r="X91" s="46"/>
      <c r="Y91" s="46"/>
      <c r="Z91" s="46"/>
      <c r="AA91" s="46"/>
    </row>
    <row r="92" spans="1:27" s="40" customFormat="1">
      <c r="A92" s="46"/>
      <c r="B92" s="46"/>
      <c r="C92" s="651"/>
      <c r="D92" s="479">
        <f>16*60*60</f>
        <v>57600</v>
      </c>
      <c r="E92" s="301" t="s">
        <v>20</v>
      </c>
      <c r="F92" s="109"/>
      <c r="G92" s="264"/>
      <c r="H92" s="109"/>
      <c r="I92" s="85"/>
      <c r="J92" s="125"/>
      <c r="K92" s="125"/>
      <c r="L92" s="125"/>
      <c r="M92" s="191"/>
      <c r="N92" s="191"/>
      <c r="O92" s="46"/>
      <c r="P92" s="46"/>
      <c r="Q92" s="46"/>
      <c r="R92" s="46"/>
      <c r="S92" s="46"/>
      <c r="T92" s="46"/>
      <c r="U92" s="46"/>
      <c r="V92" s="46"/>
      <c r="W92" s="46"/>
      <c r="X92" s="46"/>
      <c r="Y92" s="46"/>
      <c r="Z92" s="46"/>
      <c r="AA92" s="46"/>
    </row>
    <row r="93" spans="1:27" s="40" customFormat="1">
      <c r="A93" s="46"/>
      <c r="B93" s="46"/>
      <c r="C93" s="480" t="s">
        <v>593</v>
      </c>
      <c r="D93" s="301">
        <f>D45</f>
        <v>200.19</v>
      </c>
      <c r="E93" s="301" t="s">
        <v>15</v>
      </c>
      <c r="F93" s="191"/>
      <c r="G93" s="191"/>
      <c r="H93" s="191"/>
      <c r="I93" s="191"/>
      <c r="J93" s="191"/>
      <c r="K93" s="191"/>
      <c r="L93" s="191"/>
      <c r="M93" s="191"/>
      <c r="N93" s="191"/>
      <c r="O93" s="46"/>
      <c r="P93" s="46"/>
      <c r="Q93" s="46"/>
      <c r="R93" s="46"/>
      <c r="S93" s="46"/>
      <c r="T93" s="46"/>
      <c r="U93" s="46"/>
      <c r="V93" s="46"/>
      <c r="W93" s="46"/>
      <c r="X93" s="46"/>
      <c r="Y93" s="46"/>
      <c r="Z93" s="46"/>
      <c r="AA93" s="46"/>
    </row>
    <row r="94" spans="1:27" s="40" customFormat="1">
      <c r="A94" s="46"/>
      <c r="B94" s="46"/>
      <c r="C94" s="46"/>
      <c r="D94" s="46"/>
      <c r="E94" s="88"/>
      <c r="F94" s="328"/>
      <c r="G94" s="46"/>
      <c r="H94" s="46"/>
      <c r="I94" s="46"/>
      <c r="J94" s="46"/>
      <c r="K94" s="46"/>
      <c r="L94" s="46"/>
      <c r="M94" s="46"/>
      <c r="N94" s="46"/>
      <c r="O94" s="46"/>
      <c r="P94" s="46"/>
      <c r="Q94" s="46"/>
      <c r="R94" s="46"/>
      <c r="S94" s="46"/>
      <c r="T94" s="46"/>
      <c r="U94" s="46"/>
      <c r="V94" s="46"/>
      <c r="W94" s="46"/>
      <c r="X94" s="46"/>
      <c r="Y94" s="46"/>
      <c r="Z94" s="46"/>
      <c r="AA94" s="46"/>
    </row>
    <row r="95" spans="1:27" s="40" customFormat="1" ht="52">
      <c r="A95" s="46"/>
      <c r="B95" s="46"/>
      <c r="C95" s="535" t="s">
        <v>597</v>
      </c>
      <c r="D95" s="455"/>
      <c r="E95" s="455"/>
      <c r="F95" s="455"/>
      <c r="G95" s="455"/>
      <c r="H95" s="457"/>
      <c r="I95" s="306"/>
      <c r="J95" s="306"/>
      <c r="K95" s="304" t="s">
        <v>577</v>
      </c>
      <c r="L95" s="302" t="s">
        <v>580</v>
      </c>
      <c r="M95" s="302" t="s">
        <v>581</v>
      </c>
      <c r="N95" s="315" t="s">
        <v>610</v>
      </c>
      <c r="O95" s="315" t="s">
        <v>611</v>
      </c>
      <c r="P95" s="302" t="s">
        <v>588</v>
      </c>
      <c r="Q95" s="46"/>
      <c r="R95" s="46"/>
      <c r="S95" s="46"/>
      <c r="T95" s="46"/>
      <c r="U95" s="46"/>
      <c r="V95" s="46"/>
      <c r="W95" s="46"/>
      <c r="X95" s="46"/>
      <c r="Y95" s="46"/>
      <c r="Z95" s="46"/>
      <c r="AA95" s="46"/>
    </row>
    <row r="96" spans="1:27" s="40" customFormat="1">
      <c r="A96" s="46"/>
      <c r="B96" s="46"/>
      <c r="C96" s="276" t="s">
        <v>755</v>
      </c>
      <c r="D96" s="392" t="s">
        <v>20</v>
      </c>
      <c r="E96" s="297">
        <f>$D$45/E99</f>
        <v>9.0085499999999996</v>
      </c>
      <c r="F96" s="297">
        <f>$D$45/F99</f>
        <v>2.882736</v>
      </c>
      <c r="G96" s="297">
        <f t="shared" ref="G96:H96" si="13">$D$45/G99</f>
        <v>2.4022800000000002</v>
      </c>
      <c r="H96" s="297">
        <f t="shared" si="13"/>
        <v>2.0590971428571425</v>
      </c>
      <c r="I96" s="322"/>
      <c r="J96" s="322"/>
      <c r="K96" s="303" t="s">
        <v>578</v>
      </c>
      <c r="L96" s="305">
        <v>80</v>
      </c>
      <c r="M96" s="299">
        <v>80</v>
      </c>
      <c r="N96" s="279">
        <f>0.00002*10^(L96/20)</f>
        <v>0.2</v>
      </c>
      <c r="O96" s="338">
        <f>0.00002*10^(M96/20)</f>
        <v>0.2</v>
      </c>
      <c r="P96" s="329">
        <f>O96/N96</f>
        <v>1</v>
      </c>
      <c r="Q96" s="46"/>
      <c r="R96" s="46"/>
      <c r="S96" s="46"/>
      <c r="T96" s="46"/>
      <c r="U96" s="46"/>
      <c r="V96" s="46"/>
      <c r="W96" s="46"/>
      <c r="X96" s="46"/>
      <c r="Y96" s="46"/>
      <c r="Z96" s="46"/>
      <c r="AA96" s="46"/>
    </row>
    <row r="97" spans="1:27" s="40" customFormat="1" ht="29" customHeight="1">
      <c r="A97" s="46"/>
      <c r="B97" s="46"/>
      <c r="C97" s="653" t="s">
        <v>756</v>
      </c>
      <c r="D97" s="654"/>
      <c r="E97" s="530">
        <f>E96/$D$92</f>
        <v>1.5639843749999999E-4</v>
      </c>
      <c r="F97" s="279">
        <f t="shared" ref="F97:H97" si="14">F96/$D$92</f>
        <v>5.0047499999999998E-5</v>
      </c>
      <c r="G97" s="279">
        <f t="shared" si="14"/>
        <v>4.1706250000000001E-5</v>
      </c>
      <c r="H97" s="279">
        <f t="shared" si="14"/>
        <v>3.5748214285714279E-5</v>
      </c>
      <c r="I97" s="323"/>
      <c r="J97" s="323"/>
      <c r="K97" s="303" t="s">
        <v>579</v>
      </c>
      <c r="L97" s="305">
        <v>95</v>
      </c>
      <c r="M97" s="299">
        <v>95</v>
      </c>
      <c r="N97" s="279">
        <f t="shared" ref="N97:N105" si="15">0.00002*10^(L97/20)</f>
        <v>1.124682650380699</v>
      </c>
      <c r="O97" s="338">
        <f t="shared" ref="O97:O105" si="16">0.00002*10^(M97/20)</f>
        <v>1.124682650380699</v>
      </c>
      <c r="P97" s="329">
        <f t="shared" ref="P97:P105" si="17">O97/N97</f>
        <v>1</v>
      </c>
      <c r="Q97" s="46"/>
      <c r="R97" s="46"/>
      <c r="S97" s="46"/>
      <c r="T97" s="46"/>
      <c r="U97" s="46"/>
      <c r="V97" s="46"/>
      <c r="W97" s="46"/>
      <c r="X97" s="46"/>
      <c r="Y97" s="46"/>
      <c r="Z97" s="46"/>
      <c r="AA97" s="46"/>
    </row>
    <row r="98" spans="1:27" s="40" customFormat="1">
      <c r="A98" s="46"/>
      <c r="B98" s="46"/>
      <c r="C98" s="641" t="s">
        <v>594</v>
      </c>
      <c r="D98" s="531" t="s">
        <v>19</v>
      </c>
      <c r="E98" s="297">
        <v>80</v>
      </c>
      <c r="F98" s="297">
        <v>250</v>
      </c>
      <c r="G98" s="297">
        <v>300</v>
      </c>
      <c r="H98" s="297">
        <v>350</v>
      </c>
      <c r="I98" s="323"/>
      <c r="J98" s="323"/>
      <c r="K98" s="316" t="s">
        <v>837</v>
      </c>
      <c r="L98" s="218">
        <v>70</v>
      </c>
      <c r="M98" s="299">
        <f>E106</f>
        <v>51.473045895581009</v>
      </c>
      <c r="N98" s="279">
        <f t="shared" si="15"/>
        <v>6.324555320336761E-2</v>
      </c>
      <c r="O98" s="338">
        <f t="shared" si="16"/>
        <v>7.4934582236823475E-3</v>
      </c>
      <c r="P98" s="329">
        <f t="shared" si="17"/>
        <v>0.11848197769077852</v>
      </c>
      <c r="Q98" s="46"/>
      <c r="R98" s="46"/>
      <c r="S98" s="46"/>
      <c r="T98" s="46"/>
      <c r="U98" s="46"/>
      <c r="V98" s="46"/>
      <c r="W98" s="46"/>
      <c r="X98" s="46"/>
      <c r="Y98" s="46"/>
      <c r="Z98" s="46"/>
      <c r="AA98" s="46"/>
    </row>
    <row r="99" spans="1:27" s="40" customFormat="1">
      <c r="A99" s="46"/>
      <c r="B99" s="46"/>
      <c r="C99" s="646"/>
      <c r="D99" s="520" t="s">
        <v>243</v>
      </c>
      <c r="E99" s="297">
        <f>E98*1000/3600</f>
        <v>22.222222222222221</v>
      </c>
      <c r="F99" s="297">
        <f>F98*1000/3600</f>
        <v>69.444444444444443</v>
      </c>
      <c r="G99" s="297">
        <f t="shared" ref="G99" si="18">G98*1000/3600</f>
        <v>83.333333333333329</v>
      </c>
      <c r="H99" s="297">
        <f t="shared" ref="H99" si="19">H98*1000/3600</f>
        <v>97.222222222222229</v>
      </c>
      <c r="I99" s="323"/>
      <c r="J99" s="323"/>
      <c r="K99" s="316" t="s">
        <v>838</v>
      </c>
      <c r="L99" s="218">
        <v>70</v>
      </c>
      <c r="M99" s="299">
        <f>E109</f>
        <v>53.514245722140259</v>
      </c>
      <c r="N99" s="279">
        <f t="shared" si="15"/>
        <v>6.324555320336761E-2</v>
      </c>
      <c r="O99" s="338">
        <f t="shared" si="16"/>
        <v>9.4785582152622904E-3</v>
      </c>
      <c r="P99" s="329">
        <f t="shared" si="17"/>
        <v>0.14986916447364698</v>
      </c>
      <c r="Q99" s="46"/>
      <c r="R99" s="46"/>
      <c r="S99" s="46"/>
      <c r="T99" s="46"/>
      <c r="U99" s="46"/>
      <c r="V99" s="46"/>
      <c r="W99" s="46"/>
      <c r="X99" s="46"/>
      <c r="Y99" s="46"/>
      <c r="Z99" s="46"/>
      <c r="AA99" s="46"/>
    </row>
    <row r="100" spans="1:27" s="40" customFormat="1" ht="28">
      <c r="A100" s="46"/>
      <c r="B100" s="46"/>
      <c r="C100" s="656" t="s">
        <v>845</v>
      </c>
      <c r="D100" s="305" t="s">
        <v>28</v>
      </c>
      <c r="E100" s="297">
        <f>'Common ReferenceData Set Output'!I176</f>
        <v>65.551321709634976</v>
      </c>
      <c r="F100" s="525">
        <f>'Common ReferenceData Set Output'!I179</f>
        <v>80.503588823321138</v>
      </c>
      <c r="G100" s="525">
        <f>'Common ReferenceData Set Output'!I180</f>
        <v>83.73854426794567</v>
      </c>
      <c r="H100" s="297">
        <f>'Common ReferenceData Set Output'!I181</f>
        <v>86.894892355820417</v>
      </c>
      <c r="I100" s="322"/>
      <c r="J100" s="322"/>
      <c r="K100" s="316" t="s">
        <v>839</v>
      </c>
      <c r="L100" s="218">
        <v>70</v>
      </c>
      <c r="M100" s="299">
        <f>F106</f>
        <v>61.476812792466234</v>
      </c>
      <c r="N100" s="279">
        <f t="shared" si="15"/>
        <v>6.324555320336761E-2</v>
      </c>
      <c r="O100" s="338">
        <f t="shared" si="16"/>
        <v>2.370667442041299E-2</v>
      </c>
      <c r="P100" s="329">
        <f t="shared" si="17"/>
        <v>0.37483543458278568</v>
      </c>
      <c r="Q100" s="46"/>
      <c r="R100" s="46"/>
      <c r="S100" s="46"/>
      <c r="T100" s="46"/>
      <c r="U100" s="46"/>
      <c r="V100" s="46"/>
      <c r="W100" s="46"/>
      <c r="X100" s="46"/>
      <c r="Y100" s="46"/>
      <c r="Z100" s="46"/>
      <c r="AA100" s="46"/>
    </row>
    <row r="101" spans="1:27" s="40" customFormat="1" ht="74" customHeight="1">
      <c r="A101" s="46"/>
      <c r="B101" s="46"/>
      <c r="C101" s="523" t="s">
        <v>598</v>
      </c>
      <c r="D101" s="682"/>
      <c r="E101" s="601" t="s">
        <v>512</v>
      </c>
      <c r="F101" s="534"/>
      <c r="G101" s="534"/>
      <c r="H101" s="533"/>
      <c r="I101" s="324"/>
      <c r="J101" s="324"/>
      <c r="K101" s="316" t="s">
        <v>840</v>
      </c>
      <c r="L101" s="218">
        <v>70</v>
      </c>
      <c r="M101" s="299">
        <f>F109</f>
        <v>63.518012619025477</v>
      </c>
      <c r="N101" s="279">
        <f t="shared" si="15"/>
        <v>6.324555320336761E-2</v>
      </c>
      <c r="O101" s="338">
        <f t="shared" si="16"/>
        <v>2.9986834766622825E-2</v>
      </c>
      <c r="P101" s="329">
        <f t="shared" si="17"/>
        <v>0.47413348840825897</v>
      </c>
      <c r="Q101" s="46"/>
      <c r="R101" s="46"/>
      <c r="S101" s="46"/>
      <c r="T101" s="46"/>
      <c r="U101" s="46"/>
      <c r="V101" s="46"/>
      <c r="W101" s="46"/>
      <c r="X101" s="46"/>
      <c r="Y101" s="46"/>
      <c r="Z101" s="46"/>
      <c r="AA101" s="46"/>
    </row>
    <row r="102" spans="1:27" s="40" customFormat="1">
      <c r="A102" s="46"/>
      <c r="B102" s="46"/>
      <c r="C102" s="679">
        <v>50</v>
      </c>
      <c r="D102" s="683"/>
      <c r="E102" s="681">
        <f>10*LOG10(C102*$E$97*10^($E$100/10))</f>
        <v>44.483345852220822</v>
      </c>
      <c r="F102" s="526">
        <f>10*LOG10(C102*$F$97*10^($F$100/10))</f>
        <v>54.487112749106046</v>
      </c>
      <c r="G102" s="526">
        <f>10*LOG10(C102*$G$97*10^($G$100/10))</f>
        <v>56.930255733254342</v>
      </c>
      <c r="H102" s="297">
        <f>10*LOG10(C102*$H$97*10^($H$100/10))</f>
        <v>59.417135924822936</v>
      </c>
      <c r="I102" s="322"/>
      <c r="J102" s="322"/>
      <c r="K102" s="316" t="s">
        <v>841</v>
      </c>
      <c r="L102" s="218">
        <v>70</v>
      </c>
      <c r="M102" s="299">
        <f>G106</f>
        <v>63.919955776614529</v>
      </c>
      <c r="N102" s="279">
        <f t="shared" si="15"/>
        <v>6.324555320336761E-2</v>
      </c>
      <c r="O102" s="338">
        <f t="shared" si="16"/>
        <v>3.1407096180004666E-2</v>
      </c>
      <c r="P102" s="329">
        <f t="shared" si="17"/>
        <v>0.4965897931039418</v>
      </c>
      <c r="Q102" s="46"/>
      <c r="R102" s="46"/>
      <c r="S102" s="46"/>
      <c r="T102" s="46"/>
      <c r="U102" s="46"/>
      <c r="V102" s="46"/>
      <c r="W102" s="46"/>
      <c r="X102" s="46"/>
      <c r="Y102" s="46"/>
      <c r="Z102" s="46"/>
      <c r="AA102" s="46"/>
    </row>
    <row r="103" spans="1:27" s="40" customFormat="1">
      <c r="A103" s="46"/>
      <c r="B103" s="46"/>
      <c r="C103" s="679">
        <v>100</v>
      </c>
      <c r="D103" s="683"/>
      <c r="E103" s="681">
        <f t="shared" ref="E103:E109" si="20">10*LOG10(C103*$E$97*10^($E$100/10))</f>
        <v>47.493645808860634</v>
      </c>
      <c r="F103" s="297">
        <f t="shared" ref="F103:F109" si="21">10*LOG10(C103*$F$97*10^($F$100/10))</f>
        <v>57.497412705745852</v>
      </c>
      <c r="G103" s="297">
        <f t="shared" ref="G103:G109" si="22">10*LOG10(C103*$G$97*10^($G$100/10))</f>
        <v>59.940555689894154</v>
      </c>
      <c r="H103" s="297">
        <f t="shared" ref="H103:H109" si="23">10*LOG10(C103*$H$97*10^($H$100/10))</f>
        <v>62.427435881462749</v>
      </c>
      <c r="I103" s="322"/>
      <c r="J103" s="322"/>
      <c r="K103" s="316" t="s">
        <v>842</v>
      </c>
      <c r="L103" s="218">
        <v>70</v>
      </c>
      <c r="M103" s="299">
        <f>G109</f>
        <v>65.961155603173779</v>
      </c>
      <c r="N103" s="279">
        <f t="shared" si="15"/>
        <v>6.324555320336761E-2</v>
      </c>
      <c r="O103" s="338">
        <f t="shared" si="16"/>
        <v>3.9727183448315377E-2</v>
      </c>
      <c r="P103" s="329">
        <f t="shared" si="17"/>
        <v>0.62814192360009335</v>
      </c>
      <c r="Q103" s="46"/>
      <c r="R103" s="46"/>
      <c r="S103" s="46"/>
      <c r="T103" s="46"/>
      <c r="U103" s="46"/>
      <c r="V103" s="46"/>
      <c r="W103" s="46"/>
      <c r="X103" s="46"/>
      <c r="Y103" s="46"/>
      <c r="Z103" s="46"/>
      <c r="AA103" s="46"/>
    </row>
    <row r="104" spans="1:27" s="40" customFormat="1">
      <c r="A104" s="46"/>
      <c r="B104" s="46"/>
      <c r="C104" s="679">
        <v>150</v>
      </c>
      <c r="D104" s="683"/>
      <c r="E104" s="681">
        <f t="shared" si="20"/>
        <v>49.254558399417448</v>
      </c>
      <c r="F104" s="297">
        <f t="shared" si="21"/>
        <v>59.258325296302665</v>
      </c>
      <c r="G104" s="297">
        <f t="shared" si="22"/>
        <v>61.701468280450968</v>
      </c>
      <c r="H104" s="297">
        <f t="shared" si="23"/>
        <v>64.188348472019555</v>
      </c>
      <c r="I104" s="322"/>
      <c r="J104" s="322"/>
      <c r="K104" s="330" t="s">
        <v>843</v>
      </c>
      <c r="L104" s="218">
        <v>70</v>
      </c>
      <c r="M104" s="299">
        <f>H106</f>
        <v>66.406835968183117</v>
      </c>
      <c r="N104" s="279">
        <f t="shared" si="15"/>
        <v>6.324555320336761E-2</v>
      </c>
      <c r="O104" s="338">
        <f t="shared" si="16"/>
        <v>4.1818821915131726E-2</v>
      </c>
      <c r="P104" s="329">
        <f t="shared" si="17"/>
        <v>0.66121363158390423</v>
      </c>
      <c r="Q104" s="46"/>
      <c r="R104" s="46"/>
      <c r="S104" s="46"/>
      <c r="T104" s="46"/>
      <c r="U104" s="46"/>
      <c r="V104" s="46"/>
      <c r="W104" s="46"/>
      <c r="X104" s="46"/>
      <c r="Y104" s="46"/>
      <c r="Z104" s="46"/>
      <c r="AA104" s="46"/>
    </row>
    <row r="105" spans="1:27" s="40" customFormat="1">
      <c r="A105" s="46"/>
      <c r="B105" s="46"/>
      <c r="C105" s="679">
        <v>200</v>
      </c>
      <c r="D105" s="683"/>
      <c r="E105" s="681">
        <f t="shared" si="20"/>
        <v>50.503945765500447</v>
      </c>
      <c r="F105" s="297">
        <f t="shared" si="21"/>
        <v>60.507712662385664</v>
      </c>
      <c r="G105" s="297">
        <f t="shared" si="22"/>
        <v>62.950855646533967</v>
      </c>
      <c r="H105" s="297">
        <f t="shared" si="23"/>
        <v>65.437735838102554</v>
      </c>
      <c r="I105" s="322"/>
      <c r="J105" s="322"/>
      <c r="K105" s="330" t="s">
        <v>844</v>
      </c>
      <c r="L105" s="218">
        <v>70</v>
      </c>
      <c r="M105" s="299">
        <f>H109</f>
        <v>68.448035794742367</v>
      </c>
      <c r="N105" s="279">
        <f t="shared" si="15"/>
        <v>6.324555320336761E-2</v>
      </c>
      <c r="O105" s="338">
        <f t="shared" si="16"/>
        <v>5.2897090526712334E-2</v>
      </c>
      <c r="P105" s="329">
        <f t="shared" si="17"/>
        <v>0.83637643830263386</v>
      </c>
      <c r="Q105" s="46"/>
      <c r="R105" s="46"/>
      <c r="S105" s="46"/>
      <c r="T105" s="46"/>
      <c r="U105" s="46"/>
      <c r="V105" s="46"/>
      <c r="W105" s="46"/>
      <c r="X105" s="46"/>
      <c r="Y105" s="46"/>
      <c r="Z105" s="46"/>
      <c r="AA105" s="46"/>
    </row>
    <row r="106" spans="1:27" s="40" customFormat="1">
      <c r="A106" s="46"/>
      <c r="B106" s="46"/>
      <c r="C106" s="679">
        <v>250</v>
      </c>
      <c r="D106" s="685"/>
      <c r="E106" s="681">
        <f t="shared" si="20"/>
        <v>51.473045895581009</v>
      </c>
      <c r="F106" s="297">
        <f t="shared" si="21"/>
        <v>61.476812792466234</v>
      </c>
      <c r="G106" s="297">
        <f t="shared" si="22"/>
        <v>63.919955776614529</v>
      </c>
      <c r="H106" s="297">
        <f t="shared" si="23"/>
        <v>66.406835968183117</v>
      </c>
      <c r="I106" s="322"/>
      <c r="J106" s="322"/>
      <c r="K106" s="327"/>
      <c r="L106" s="322"/>
      <c r="M106" s="322"/>
      <c r="N106" s="322"/>
      <c r="O106" s="46"/>
      <c r="P106" s="46"/>
      <c r="Q106" s="46"/>
      <c r="R106" s="46"/>
      <c r="S106" s="46"/>
      <c r="T106" s="46"/>
      <c r="U106" s="46"/>
      <c r="V106" s="46"/>
      <c r="W106" s="46"/>
      <c r="X106" s="46"/>
      <c r="Y106" s="46"/>
      <c r="Z106" s="46"/>
      <c r="AA106" s="46"/>
    </row>
    <row r="107" spans="1:27" s="40" customFormat="1">
      <c r="A107" s="46"/>
      <c r="B107" s="46"/>
      <c r="C107" s="679">
        <v>300</v>
      </c>
      <c r="D107" s="683"/>
      <c r="E107" s="681">
        <f t="shared" si="20"/>
        <v>52.26485835605726</v>
      </c>
      <c r="F107" s="297">
        <f t="shared" si="21"/>
        <v>62.268625252942478</v>
      </c>
      <c r="G107" s="297">
        <f t="shared" si="22"/>
        <v>64.71176823709078</v>
      </c>
      <c r="H107" s="297">
        <f t="shared" si="23"/>
        <v>67.198648428659368</v>
      </c>
      <c r="I107" s="322"/>
      <c r="J107" s="322"/>
      <c r="K107" s="327"/>
      <c r="L107" s="322"/>
      <c r="M107" s="322"/>
      <c r="N107" s="322"/>
      <c r="O107" s="46"/>
      <c r="P107" s="46"/>
      <c r="Q107" s="46"/>
      <c r="R107" s="46"/>
      <c r="S107" s="46"/>
      <c r="T107" s="46"/>
      <c r="U107" s="46"/>
      <c r="V107" s="46"/>
      <c r="W107" s="46"/>
      <c r="X107" s="46"/>
      <c r="Y107" s="46"/>
      <c r="Z107" s="46"/>
      <c r="AA107" s="46"/>
    </row>
    <row r="108" spans="1:27" s="40" customFormat="1">
      <c r="A108" s="46"/>
      <c r="B108" s="46"/>
      <c r="C108" s="679">
        <v>350</v>
      </c>
      <c r="D108" s="683"/>
      <c r="E108" s="681">
        <f t="shared" si="20"/>
        <v>52.934326252363391</v>
      </c>
      <c r="F108" s="297">
        <f t="shared" si="21"/>
        <v>62.938093149248608</v>
      </c>
      <c r="G108" s="297">
        <f t="shared" si="22"/>
        <v>65.381236133396911</v>
      </c>
      <c r="H108" s="297">
        <f t="shared" si="23"/>
        <v>67.868116324965499</v>
      </c>
      <c r="I108" s="322"/>
      <c r="J108" s="322"/>
      <c r="K108" s="327"/>
      <c r="L108" s="322"/>
      <c r="M108" s="322"/>
      <c r="N108" s="322"/>
      <c r="O108" s="46"/>
      <c r="P108" s="46"/>
      <c r="Q108" s="46"/>
      <c r="R108" s="46"/>
      <c r="S108" s="46"/>
      <c r="T108" s="46"/>
      <c r="U108" s="46"/>
      <c r="V108" s="46"/>
      <c r="W108" s="46"/>
      <c r="X108" s="46"/>
      <c r="Y108" s="46"/>
      <c r="Z108" s="46"/>
      <c r="AA108" s="46"/>
    </row>
    <row r="109" spans="1:27" s="40" customFormat="1">
      <c r="A109" s="46"/>
      <c r="B109" s="46"/>
      <c r="C109" s="680">
        <v>400</v>
      </c>
      <c r="D109" s="670"/>
      <c r="E109" s="681">
        <f t="shared" si="20"/>
        <v>53.514245722140259</v>
      </c>
      <c r="F109" s="297">
        <f t="shared" si="21"/>
        <v>63.518012619025477</v>
      </c>
      <c r="G109" s="297">
        <f t="shared" si="22"/>
        <v>65.961155603173779</v>
      </c>
      <c r="H109" s="297">
        <f t="shared" si="23"/>
        <v>68.448035794742367</v>
      </c>
      <c r="I109" s="46"/>
      <c r="J109" s="46"/>
      <c r="K109" s="46"/>
      <c r="L109" s="46"/>
      <c r="M109" s="46"/>
      <c r="N109" s="46"/>
      <c r="O109" s="46"/>
      <c r="P109" s="46"/>
      <c r="Q109" s="46"/>
      <c r="R109" s="46"/>
      <c r="S109" s="46"/>
      <c r="T109" s="46"/>
      <c r="U109" s="46"/>
      <c r="V109" s="46"/>
      <c r="W109" s="46"/>
      <c r="X109" s="46"/>
      <c r="Y109" s="46"/>
      <c r="Z109" s="46"/>
      <c r="AA109" s="46"/>
    </row>
    <row r="110" spans="1:27" s="40" customFormat="1">
      <c r="A110" s="46"/>
      <c r="B110" s="46"/>
      <c r="C110" s="46"/>
      <c r="D110" s="46"/>
      <c r="E110" s="88"/>
      <c r="F110" s="328"/>
      <c r="G110" s="46"/>
      <c r="H110" s="46"/>
      <c r="I110" s="46"/>
      <c r="J110" s="46"/>
      <c r="K110" s="46"/>
      <c r="L110" s="46"/>
      <c r="M110" s="46"/>
      <c r="N110" s="46"/>
      <c r="O110" s="46"/>
      <c r="P110" s="46"/>
      <c r="Q110" s="46"/>
      <c r="R110" s="46"/>
      <c r="S110" s="46"/>
      <c r="T110" s="46"/>
      <c r="U110" s="46"/>
      <c r="V110" s="46"/>
      <c r="W110" s="46"/>
      <c r="X110" s="46"/>
      <c r="Y110" s="46"/>
      <c r="Z110" s="46"/>
      <c r="AA110" s="46"/>
    </row>
    <row r="111" spans="1:27" s="40" customFormat="1">
      <c r="A111" s="46"/>
      <c r="B111" s="46"/>
      <c r="C111" s="46"/>
      <c r="D111" s="46"/>
      <c r="E111" s="88"/>
      <c r="F111" s="328"/>
      <c r="G111" s="46"/>
      <c r="H111" s="46"/>
      <c r="I111" s="46"/>
      <c r="J111" s="46"/>
      <c r="K111" s="46"/>
      <c r="L111" s="46"/>
      <c r="M111" s="46"/>
      <c r="N111" s="46"/>
      <c r="O111" s="46"/>
      <c r="P111" s="46"/>
      <c r="Q111" s="46"/>
      <c r="R111" s="46"/>
      <c r="S111" s="46"/>
      <c r="T111" s="46"/>
      <c r="U111" s="46"/>
      <c r="V111" s="46"/>
      <c r="W111" s="46"/>
      <c r="X111" s="46"/>
      <c r="Y111" s="46"/>
      <c r="Z111" s="46"/>
      <c r="AA111" s="46"/>
    </row>
    <row r="112" spans="1:27" s="40" customFormat="1">
      <c r="A112" s="46"/>
      <c r="B112" s="46"/>
      <c r="C112" s="46"/>
      <c r="D112" s="46"/>
      <c r="E112" s="88"/>
      <c r="F112" s="328"/>
      <c r="G112" s="46"/>
      <c r="H112" s="46"/>
      <c r="I112" s="46"/>
      <c r="J112" s="46"/>
      <c r="K112" s="46"/>
      <c r="L112" s="46"/>
      <c r="M112" s="46"/>
      <c r="N112" s="46"/>
      <c r="O112" s="46"/>
      <c r="P112" s="46"/>
      <c r="Q112" s="46"/>
      <c r="R112" s="46"/>
      <c r="S112" s="46"/>
      <c r="T112" s="46"/>
      <c r="U112" s="46"/>
      <c r="V112" s="46"/>
      <c r="W112" s="46"/>
      <c r="X112" s="46"/>
      <c r="Y112" s="46"/>
      <c r="Z112" s="46"/>
      <c r="AA112" s="46"/>
    </row>
    <row r="113" spans="1:27" s="40" customFormat="1">
      <c r="A113" s="46"/>
      <c r="B113" s="46"/>
      <c r="C113" s="46"/>
      <c r="D113" s="46"/>
      <c r="E113" s="88"/>
      <c r="F113" s="328"/>
      <c r="G113" s="46"/>
      <c r="H113" s="46"/>
      <c r="I113" s="46"/>
      <c r="J113" s="46"/>
      <c r="K113" s="46"/>
      <c r="L113" s="46"/>
      <c r="M113" s="46"/>
      <c r="N113" s="46"/>
      <c r="O113" s="46"/>
      <c r="P113" s="46"/>
      <c r="Q113" s="46"/>
      <c r="R113" s="46"/>
      <c r="S113" s="46"/>
      <c r="T113" s="46"/>
      <c r="U113" s="46"/>
      <c r="V113" s="46"/>
      <c r="W113" s="46"/>
      <c r="X113" s="46"/>
      <c r="Y113" s="46"/>
      <c r="Z113" s="46"/>
      <c r="AA113" s="46"/>
    </row>
    <row r="114" spans="1:27" s="40" customFormat="1">
      <c r="A114" s="46"/>
      <c r="B114" s="46"/>
      <c r="C114" s="46"/>
      <c r="D114" s="46"/>
      <c r="E114" s="88"/>
      <c r="F114" s="328"/>
      <c r="G114" s="46"/>
      <c r="H114" s="46"/>
      <c r="I114" s="46"/>
      <c r="J114" s="46"/>
      <c r="K114" s="46"/>
      <c r="L114" s="46"/>
      <c r="M114" s="46"/>
      <c r="N114" s="46"/>
      <c r="O114" s="46"/>
      <c r="P114" s="46"/>
      <c r="Q114" s="46"/>
      <c r="R114" s="46"/>
      <c r="S114" s="46"/>
      <c r="T114" s="46"/>
      <c r="U114" s="46"/>
      <c r="V114" s="46"/>
      <c r="W114" s="46"/>
      <c r="X114" s="46"/>
      <c r="Y114" s="46"/>
      <c r="Z114" s="46"/>
      <c r="AA114" s="46"/>
    </row>
    <row r="115" spans="1:27" s="40" customFormat="1">
      <c r="A115" s="46"/>
      <c r="B115" s="46"/>
      <c r="C115" s="46"/>
      <c r="D115" s="46"/>
      <c r="E115" s="88"/>
      <c r="F115" s="328"/>
      <c r="G115" s="46"/>
      <c r="H115" s="46"/>
      <c r="I115" s="46"/>
      <c r="J115" s="46"/>
      <c r="K115" s="46"/>
      <c r="L115" s="46"/>
      <c r="M115" s="46"/>
      <c r="N115" s="46"/>
      <c r="O115" s="46"/>
      <c r="P115" s="46"/>
      <c r="Q115" s="46"/>
      <c r="R115" s="46"/>
      <c r="S115" s="46"/>
      <c r="T115" s="46"/>
      <c r="U115" s="46"/>
      <c r="V115" s="46"/>
      <c r="W115" s="46"/>
      <c r="X115" s="46"/>
      <c r="Y115" s="46"/>
      <c r="Z115" s="46"/>
      <c r="AA115" s="46"/>
    </row>
    <row r="116" spans="1:27" s="40" customFormat="1">
      <c r="A116" s="46"/>
      <c r="B116" s="46"/>
      <c r="C116" s="46"/>
      <c r="D116" s="46"/>
      <c r="E116" s="88"/>
      <c r="F116" s="328"/>
      <c r="G116" s="46"/>
      <c r="H116" s="46"/>
      <c r="I116" s="46"/>
      <c r="J116" s="46"/>
      <c r="K116" s="46"/>
      <c r="L116" s="46"/>
      <c r="M116" s="46"/>
      <c r="N116" s="46"/>
      <c r="O116" s="46"/>
      <c r="P116" s="46"/>
      <c r="Q116" s="46"/>
      <c r="R116" s="46"/>
      <c r="S116" s="46"/>
      <c r="T116" s="46"/>
      <c r="U116" s="46"/>
      <c r="V116" s="46"/>
      <c r="W116" s="46"/>
      <c r="X116" s="46"/>
      <c r="Y116" s="46"/>
      <c r="Z116" s="46"/>
      <c r="AA116" s="46"/>
    </row>
    <row r="117" spans="1:27" s="40" customFormat="1">
      <c r="A117" s="46"/>
      <c r="B117" s="46"/>
      <c r="C117" s="46"/>
      <c r="D117" s="46"/>
      <c r="E117" s="88"/>
      <c r="F117" s="328"/>
      <c r="G117" s="46"/>
      <c r="H117" s="46"/>
      <c r="I117" s="46"/>
      <c r="J117" s="46"/>
      <c r="K117" s="46"/>
      <c r="L117" s="46"/>
      <c r="M117" s="46"/>
      <c r="N117" s="46"/>
      <c r="O117" s="46"/>
      <c r="P117" s="46"/>
      <c r="Q117" s="46"/>
      <c r="R117" s="46"/>
      <c r="S117" s="46"/>
      <c r="T117" s="46"/>
      <c r="U117" s="46"/>
      <c r="V117" s="46"/>
      <c r="W117" s="46"/>
      <c r="X117" s="46"/>
      <c r="Y117" s="46"/>
      <c r="Z117" s="46"/>
      <c r="AA117" s="46"/>
    </row>
    <row r="118" spans="1:27" s="40" customFormat="1">
      <c r="A118" s="46"/>
      <c r="B118" s="46"/>
      <c r="C118" s="46"/>
      <c r="D118" s="46"/>
      <c r="E118" s="88"/>
      <c r="F118" s="328"/>
      <c r="G118" s="46"/>
      <c r="H118" s="46"/>
      <c r="I118" s="46"/>
      <c r="J118" s="46"/>
      <c r="K118" s="46"/>
      <c r="L118" s="46"/>
      <c r="M118" s="46"/>
      <c r="N118" s="46"/>
      <c r="O118" s="46"/>
      <c r="P118" s="46"/>
      <c r="Q118" s="46"/>
      <c r="R118" s="46"/>
      <c r="S118" s="46"/>
      <c r="T118" s="46"/>
      <c r="U118" s="46"/>
      <c r="V118" s="46"/>
      <c r="W118" s="46"/>
      <c r="X118" s="46"/>
      <c r="Y118" s="46"/>
      <c r="Z118" s="46"/>
      <c r="AA118" s="46"/>
    </row>
    <row r="119" spans="1:27" s="40" customFormat="1">
      <c r="A119" s="46"/>
      <c r="B119" s="46"/>
      <c r="C119" s="46"/>
      <c r="D119" s="46"/>
      <c r="E119" s="88"/>
      <c r="F119" s="328"/>
      <c r="G119" s="46"/>
      <c r="H119" s="46"/>
      <c r="I119" s="46"/>
      <c r="J119" s="46"/>
      <c r="K119" s="46"/>
      <c r="L119" s="46"/>
      <c r="M119" s="46"/>
      <c r="N119" s="46"/>
      <c r="O119" s="46"/>
      <c r="P119" s="46"/>
      <c r="Q119" s="46"/>
      <c r="R119" s="46"/>
      <c r="S119" s="46"/>
      <c r="T119" s="46"/>
      <c r="U119" s="46"/>
      <c r="V119" s="46"/>
      <c r="W119" s="46"/>
      <c r="X119" s="46"/>
      <c r="Y119" s="46"/>
      <c r="Z119" s="46"/>
      <c r="AA119" s="46"/>
    </row>
    <row r="120" spans="1:27" s="40" customFormat="1">
      <c r="A120" s="46"/>
      <c r="B120" s="46"/>
      <c r="C120" s="46"/>
      <c r="D120" s="46"/>
      <c r="E120" s="88"/>
      <c r="F120" s="328"/>
      <c r="G120" s="46"/>
      <c r="H120" s="46"/>
      <c r="I120" s="46"/>
      <c r="J120" s="46"/>
      <c r="K120" s="46"/>
      <c r="L120" s="46"/>
      <c r="M120" s="46"/>
      <c r="N120" s="46"/>
      <c r="O120" s="46"/>
      <c r="P120" s="46"/>
      <c r="Q120" s="46"/>
      <c r="R120" s="46"/>
      <c r="S120" s="46"/>
      <c r="T120" s="46"/>
      <c r="U120" s="46"/>
      <c r="V120" s="46"/>
      <c r="W120" s="46"/>
      <c r="X120" s="46"/>
      <c r="Y120" s="46"/>
      <c r="Z120" s="46"/>
      <c r="AA120" s="46"/>
    </row>
    <row r="121" spans="1:27" s="40" customFormat="1">
      <c r="A121" s="46"/>
      <c r="B121" s="46"/>
      <c r="C121" s="46"/>
      <c r="D121" s="46"/>
      <c r="E121" s="88"/>
      <c r="F121" s="328"/>
      <c r="G121" s="46"/>
      <c r="H121" s="46"/>
      <c r="I121" s="46"/>
      <c r="J121" s="46"/>
      <c r="K121" s="46"/>
      <c r="L121" s="46"/>
      <c r="M121" s="46"/>
      <c r="N121" s="46"/>
      <c r="O121" s="46"/>
      <c r="P121" s="46"/>
      <c r="Q121" s="46"/>
      <c r="R121" s="46"/>
      <c r="S121" s="46"/>
      <c r="T121" s="46"/>
      <c r="U121" s="46"/>
      <c r="V121" s="46"/>
      <c r="W121" s="46"/>
      <c r="X121" s="46"/>
      <c r="Y121" s="46"/>
      <c r="Z121" s="46"/>
      <c r="AA121" s="46"/>
    </row>
    <row r="122" spans="1:27" s="40" customFormat="1">
      <c r="A122" s="46"/>
      <c r="B122" s="46"/>
      <c r="C122" s="46"/>
      <c r="D122" s="46"/>
      <c r="E122" s="88"/>
      <c r="F122" s="328"/>
      <c r="G122" s="46"/>
      <c r="H122" s="46"/>
      <c r="I122" s="46"/>
      <c r="J122" s="46"/>
      <c r="K122" s="46"/>
      <c r="L122" s="46"/>
      <c r="M122" s="46"/>
      <c r="N122" s="46"/>
      <c r="O122" s="46"/>
      <c r="P122" s="46"/>
      <c r="Q122" s="46"/>
      <c r="R122" s="46"/>
      <c r="S122" s="46"/>
      <c r="T122" s="46"/>
      <c r="U122" s="46"/>
      <c r="V122" s="46"/>
      <c r="W122" s="46"/>
      <c r="X122" s="46"/>
      <c r="Y122" s="46"/>
      <c r="Z122" s="46"/>
      <c r="AA122" s="46"/>
    </row>
    <row r="123" spans="1:27" s="40" customFormat="1">
      <c r="A123" s="46"/>
      <c r="B123" s="46"/>
      <c r="C123" s="46"/>
      <c r="D123" s="46"/>
      <c r="E123" s="88"/>
      <c r="F123" s="328"/>
      <c r="G123" s="46"/>
      <c r="H123" s="46"/>
      <c r="I123" s="46"/>
      <c r="J123" s="46"/>
      <c r="K123" s="46"/>
      <c r="L123" s="46"/>
      <c r="M123" s="46"/>
      <c r="N123" s="46"/>
      <c r="O123" s="46"/>
      <c r="P123" s="46"/>
      <c r="Q123" s="46"/>
      <c r="R123" s="46"/>
      <c r="S123" s="46"/>
      <c r="T123" s="46"/>
      <c r="U123" s="46"/>
      <c r="V123" s="46"/>
      <c r="W123" s="46"/>
      <c r="X123" s="46"/>
      <c r="Y123" s="46"/>
      <c r="Z123" s="46"/>
      <c r="AA123" s="46"/>
    </row>
    <row r="124" spans="1:27" s="40" customFormat="1">
      <c r="A124" s="46"/>
      <c r="B124" s="46"/>
      <c r="C124" s="46"/>
      <c r="D124" s="46"/>
      <c r="E124" s="88"/>
      <c r="F124" s="328"/>
      <c r="G124" s="46"/>
      <c r="H124" s="46"/>
      <c r="I124" s="46"/>
      <c r="J124" s="46"/>
      <c r="K124" s="46"/>
      <c r="L124" s="46"/>
      <c r="M124" s="46"/>
      <c r="N124" s="46"/>
      <c r="O124" s="46"/>
      <c r="P124" s="46"/>
      <c r="Q124" s="46"/>
      <c r="R124" s="46"/>
      <c r="S124" s="46"/>
      <c r="T124" s="46"/>
      <c r="U124" s="46"/>
      <c r="V124" s="46"/>
      <c r="W124" s="46"/>
      <c r="X124" s="46"/>
      <c r="Y124" s="46"/>
      <c r="Z124" s="46"/>
      <c r="AA124" s="46"/>
    </row>
    <row r="125" spans="1:27" s="40" customFormat="1">
      <c r="A125" s="46"/>
      <c r="B125" s="46"/>
      <c r="C125" s="46"/>
      <c r="D125" s="46"/>
      <c r="E125" s="88"/>
      <c r="F125" s="328"/>
      <c r="G125" s="46"/>
      <c r="H125" s="46"/>
      <c r="I125" s="46"/>
      <c r="J125" s="46"/>
      <c r="K125" s="46"/>
      <c r="L125" s="46"/>
      <c r="M125" s="46"/>
      <c r="N125" s="46"/>
      <c r="O125" s="46"/>
      <c r="P125" s="46"/>
      <c r="Q125" s="46"/>
      <c r="R125" s="46"/>
      <c r="S125" s="46"/>
      <c r="T125" s="46"/>
      <c r="U125" s="46"/>
      <c r="V125" s="46"/>
      <c r="W125" s="46"/>
      <c r="X125" s="46"/>
      <c r="Y125" s="46"/>
      <c r="Z125" s="46"/>
      <c r="AA125" s="46"/>
    </row>
    <row r="126" spans="1:27" s="40" customFormat="1">
      <c r="A126" s="46"/>
      <c r="B126" s="46"/>
      <c r="C126" s="46"/>
      <c r="D126" s="46"/>
      <c r="E126" s="88"/>
      <c r="F126" s="328"/>
      <c r="G126" s="46"/>
      <c r="H126" s="46"/>
      <c r="I126" s="46"/>
      <c r="J126" s="46"/>
      <c r="K126" s="46"/>
      <c r="L126" s="46"/>
      <c r="M126" s="46"/>
      <c r="N126" s="46"/>
      <c r="O126" s="46"/>
      <c r="P126" s="46"/>
      <c r="Q126" s="46"/>
      <c r="R126" s="46"/>
      <c r="S126" s="46"/>
      <c r="T126" s="46"/>
      <c r="U126" s="46"/>
      <c r="V126" s="46"/>
      <c r="W126" s="46"/>
      <c r="X126" s="46"/>
      <c r="Y126" s="46"/>
      <c r="Z126" s="46"/>
      <c r="AA126" s="46"/>
    </row>
    <row r="127" spans="1:27" s="40" customFormat="1">
      <c r="A127" s="46"/>
      <c r="B127" s="46"/>
      <c r="C127" s="46"/>
      <c r="D127" s="46"/>
      <c r="E127" s="88"/>
      <c r="F127" s="328"/>
      <c r="G127" s="46"/>
      <c r="H127" s="46"/>
      <c r="I127" s="46"/>
      <c r="J127" s="46"/>
      <c r="K127" s="46"/>
      <c r="L127" s="46"/>
      <c r="M127" s="46"/>
      <c r="N127" s="46"/>
      <c r="O127" s="46"/>
      <c r="P127" s="46"/>
      <c r="Q127" s="46"/>
      <c r="R127" s="46"/>
      <c r="S127" s="46"/>
      <c r="T127" s="46"/>
      <c r="U127" s="46"/>
      <c r="V127" s="46"/>
      <c r="W127" s="46"/>
      <c r="X127" s="46"/>
      <c r="Y127" s="46"/>
      <c r="Z127" s="46"/>
      <c r="AA127" s="46"/>
    </row>
    <row r="128" spans="1:27" s="40" customFormat="1">
      <c r="A128" s="46"/>
      <c r="B128" s="46"/>
      <c r="C128" s="46"/>
      <c r="D128" s="46"/>
      <c r="E128" s="88"/>
      <c r="F128" s="328"/>
      <c r="G128" s="46"/>
      <c r="H128" s="46"/>
      <c r="I128" s="46"/>
      <c r="J128" s="46"/>
      <c r="K128" s="46"/>
      <c r="L128" s="46"/>
      <c r="M128" s="46"/>
      <c r="N128" s="46"/>
      <c r="O128" s="46"/>
      <c r="P128" s="46"/>
      <c r="Q128" s="46"/>
      <c r="R128" s="46"/>
      <c r="S128" s="46"/>
      <c r="T128" s="46"/>
      <c r="U128" s="46"/>
      <c r="V128" s="46"/>
      <c r="W128" s="46"/>
      <c r="X128" s="46"/>
      <c r="Y128" s="46"/>
      <c r="Z128" s="46"/>
      <c r="AA128" s="46"/>
    </row>
    <row r="129" spans="1:27" s="40" customFormat="1">
      <c r="A129" s="46"/>
      <c r="B129" s="46"/>
      <c r="C129" s="46"/>
      <c r="D129" s="46"/>
      <c r="E129" s="88"/>
      <c r="F129" s="328"/>
      <c r="G129" s="46"/>
      <c r="H129" s="46"/>
      <c r="I129" s="46"/>
      <c r="J129" s="46"/>
      <c r="K129" s="46"/>
      <c r="L129" s="46"/>
      <c r="M129" s="46"/>
      <c r="N129" s="46"/>
      <c r="O129" s="46"/>
      <c r="P129" s="46"/>
      <c r="Q129" s="46"/>
      <c r="R129" s="46"/>
      <c r="S129" s="46"/>
      <c r="T129" s="46"/>
      <c r="U129" s="46"/>
      <c r="V129" s="46"/>
      <c r="W129" s="46"/>
      <c r="X129" s="46"/>
      <c r="Y129" s="46"/>
      <c r="Z129" s="46"/>
      <c r="AA129" s="46"/>
    </row>
    <row r="130" spans="1:27" s="40" customFormat="1">
      <c r="A130" s="46"/>
      <c r="B130" s="46"/>
      <c r="C130" s="46"/>
      <c r="D130" s="46"/>
      <c r="E130" s="88"/>
      <c r="F130" s="328"/>
      <c r="G130" s="46"/>
      <c r="H130" s="46"/>
      <c r="I130" s="46"/>
      <c r="J130" s="46"/>
      <c r="K130" s="46"/>
      <c r="L130" s="46"/>
      <c r="M130" s="46"/>
      <c r="N130" s="46"/>
      <c r="O130" s="46"/>
      <c r="P130" s="46"/>
      <c r="Q130" s="46"/>
      <c r="R130" s="46"/>
      <c r="S130" s="46"/>
      <c r="T130" s="46"/>
      <c r="U130" s="46"/>
      <c r="V130" s="46"/>
      <c r="W130" s="46"/>
      <c r="X130" s="46"/>
      <c r="Y130" s="46"/>
      <c r="Z130" s="46"/>
      <c r="AA130" s="46"/>
    </row>
    <row r="131" spans="1:27" s="40" customFormat="1">
      <c r="A131" s="46"/>
      <c r="B131" s="46"/>
      <c r="C131" s="46"/>
      <c r="D131" s="46"/>
      <c r="E131" s="88"/>
      <c r="F131" s="328"/>
      <c r="G131" s="46"/>
      <c r="H131" s="46"/>
      <c r="I131" s="46"/>
      <c r="J131" s="46"/>
      <c r="K131" s="46"/>
      <c r="L131" s="46"/>
      <c r="M131" s="46"/>
      <c r="N131" s="46"/>
      <c r="O131" s="46"/>
      <c r="P131" s="46"/>
      <c r="Q131" s="46"/>
      <c r="R131" s="46"/>
      <c r="S131" s="46"/>
      <c r="T131" s="46"/>
      <c r="U131" s="46"/>
      <c r="V131" s="46"/>
      <c r="W131" s="46"/>
      <c r="X131" s="46"/>
      <c r="Y131" s="46"/>
      <c r="Z131" s="46"/>
      <c r="AA131" s="46"/>
    </row>
    <row r="132" spans="1:27" s="40" customFormat="1">
      <c r="A132" s="46"/>
      <c r="B132" s="46"/>
      <c r="C132" s="46"/>
      <c r="D132" s="46"/>
      <c r="E132" s="88"/>
      <c r="F132" s="328"/>
      <c r="G132" s="46"/>
      <c r="H132" s="46"/>
      <c r="I132" s="46"/>
      <c r="J132" s="46"/>
      <c r="K132" s="46"/>
      <c r="L132" s="46"/>
      <c r="M132" s="46"/>
      <c r="N132" s="46"/>
      <c r="O132" s="46"/>
      <c r="P132" s="46"/>
      <c r="Q132" s="46"/>
      <c r="R132" s="46"/>
      <c r="S132" s="46"/>
      <c r="T132" s="46"/>
      <c r="U132" s="46"/>
      <c r="V132" s="46"/>
      <c r="W132" s="46"/>
      <c r="X132" s="46"/>
      <c r="Y132" s="46"/>
      <c r="Z132" s="46"/>
      <c r="AA132" s="46"/>
    </row>
    <row r="133" spans="1:27" s="40" customFormat="1">
      <c r="A133" s="46"/>
      <c r="B133" s="46"/>
      <c r="C133" s="46"/>
      <c r="D133" s="46"/>
      <c r="E133" s="88"/>
      <c r="F133" s="328"/>
      <c r="G133" s="46"/>
      <c r="H133" s="46"/>
      <c r="I133" s="46"/>
      <c r="J133" s="46"/>
      <c r="K133" s="46"/>
      <c r="L133" s="46"/>
      <c r="M133" s="46"/>
      <c r="N133" s="46"/>
      <c r="O133" s="46"/>
      <c r="P133" s="46"/>
      <c r="Q133" s="46"/>
      <c r="R133" s="46"/>
      <c r="S133" s="46"/>
      <c r="T133" s="46"/>
      <c r="U133" s="46"/>
      <c r="V133" s="46"/>
      <c r="W133" s="46"/>
      <c r="X133" s="46"/>
      <c r="Y133" s="46"/>
      <c r="Z133" s="46"/>
      <c r="AA133" s="46"/>
    </row>
    <row r="134" spans="1:27" s="40" customFormat="1">
      <c r="A134" s="46"/>
      <c r="B134" s="46"/>
      <c r="C134" s="46"/>
      <c r="D134" s="46"/>
      <c r="E134" s="88"/>
      <c r="F134" s="328"/>
      <c r="G134" s="46"/>
      <c r="H134" s="46"/>
      <c r="I134" s="46"/>
      <c r="J134" s="46"/>
      <c r="K134" s="46"/>
      <c r="L134" s="46"/>
      <c r="M134" s="46"/>
      <c r="N134" s="46"/>
      <c r="O134" s="46"/>
      <c r="P134" s="46"/>
      <c r="Q134" s="46"/>
      <c r="R134" s="46"/>
      <c r="S134" s="46"/>
      <c r="T134" s="46"/>
      <c r="U134" s="46"/>
      <c r="V134" s="46"/>
      <c r="W134" s="46"/>
      <c r="X134" s="46"/>
      <c r="Y134" s="46"/>
      <c r="Z134" s="46"/>
      <c r="AA134" s="46"/>
    </row>
    <row r="135" spans="1:27" s="40" customFormat="1">
      <c r="A135" s="46"/>
      <c r="B135" s="112" t="s">
        <v>757</v>
      </c>
      <c r="C135" s="46"/>
      <c r="D135" s="46"/>
      <c r="E135" s="346"/>
      <c r="F135" s="347"/>
      <c r="G135" s="168"/>
      <c r="H135" s="46"/>
      <c r="I135" s="46"/>
      <c r="J135" s="46"/>
      <c r="K135" s="308"/>
      <c r="L135" s="46"/>
      <c r="M135" s="46"/>
      <c r="N135" s="46"/>
      <c r="O135" s="46"/>
      <c r="P135" s="46"/>
      <c r="Q135" s="46"/>
      <c r="R135" s="46"/>
      <c r="S135" s="46"/>
      <c r="T135" s="46"/>
      <c r="U135" s="46"/>
      <c r="V135" s="46"/>
      <c r="W135" s="46"/>
      <c r="X135" s="46"/>
      <c r="Y135" s="46"/>
      <c r="Z135" s="46"/>
      <c r="AA135" s="46"/>
    </row>
    <row r="136" spans="1:27" s="40" customFormat="1" ht="15">
      <c r="A136" s="46"/>
      <c r="B136" s="112"/>
      <c r="C136" s="46"/>
      <c r="D136" s="46"/>
      <c r="E136" s="88"/>
      <c r="F136" s="328"/>
      <c r="G136" s="46"/>
      <c r="H136" s="46"/>
      <c r="I136" s="46"/>
      <c r="J136" s="267" t="s">
        <v>516</v>
      </c>
      <c r="K136" s="290" t="s">
        <v>691</v>
      </c>
      <c r="L136" s="191"/>
      <c r="M136" s="46"/>
      <c r="N136" s="46"/>
      <c r="O136" s="46"/>
      <c r="P136" s="46"/>
      <c r="Q136" s="46"/>
      <c r="R136" s="46"/>
      <c r="S136" s="46"/>
      <c r="T136" s="46"/>
      <c r="U136" s="46"/>
      <c r="V136" s="46"/>
      <c r="W136" s="46"/>
      <c r="X136" s="46"/>
      <c r="Y136" s="46"/>
      <c r="Z136" s="46"/>
      <c r="AA136" s="46"/>
    </row>
    <row r="137" spans="1:27" s="40" customFormat="1" ht="15">
      <c r="A137" s="46"/>
      <c r="B137" s="191" t="s">
        <v>602</v>
      </c>
      <c r="C137" s="191"/>
      <c r="D137" s="191" t="s">
        <v>553</v>
      </c>
      <c r="E137" s="191"/>
      <c r="F137" s="191"/>
      <c r="G137" s="191"/>
      <c r="H137" s="191"/>
      <c r="I137" s="46"/>
      <c r="J137" s="267" t="s">
        <v>517</v>
      </c>
      <c r="K137" s="191" t="s">
        <v>518</v>
      </c>
      <c r="L137" s="191"/>
      <c r="M137" s="46"/>
      <c r="N137" s="46"/>
      <c r="O137" s="46"/>
      <c r="P137" s="46"/>
      <c r="Q137" s="46"/>
      <c r="R137" s="46"/>
      <c r="S137" s="46"/>
      <c r="T137" s="46"/>
      <c r="U137" s="46"/>
      <c r="V137" s="46"/>
      <c r="W137" s="46"/>
      <c r="X137" s="46"/>
      <c r="Y137" s="46"/>
      <c r="Z137" s="46"/>
      <c r="AA137" s="46"/>
    </row>
    <row r="138" spans="1:27" s="40" customFormat="1" ht="15">
      <c r="A138" s="46"/>
      <c r="B138" s="112"/>
      <c r="C138" s="46"/>
      <c r="D138" s="46"/>
      <c r="E138" s="88"/>
      <c r="F138" s="328"/>
      <c r="G138" s="46"/>
      <c r="H138" s="46"/>
      <c r="I138" s="46"/>
      <c r="J138" s="46"/>
      <c r="K138" s="268" t="s">
        <v>519</v>
      </c>
      <c r="L138" s="46"/>
      <c r="M138" s="46"/>
      <c r="N138" s="46"/>
      <c r="O138" s="46"/>
      <c r="P138" s="46"/>
      <c r="Q138" s="46"/>
      <c r="R138" s="46"/>
      <c r="S138" s="46"/>
      <c r="T138" s="46"/>
      <c r="U138" s="46"/>
      <c r="V138" s="46"/>
      <c r="W138" s="46"/>
      <c r="X138" s="46"/>
      <c r="Y138" s="46"/>
      <c r="Z138" s="46"/>
      <c r="AA138" s="46"/>
    </row>
    <row r="139" spans="1:27" s="40" customFormat="1" ht="15">
      <c r="A139" s="46"/>
      <c r="B139" s="112"/>
      <c r="C139" s="46"/>
      <c r="D139" s="46"/>
      <c r="E139" s="88"/>
      <c r="F139" s="328"/>
      <c r="G139" s="46"/>
      <c r="H139" s="46"/>
      <c r="I139" s="46"/>
      <c r="K139" s="191" t="s">
        <v>676</v>
      </c>
      <c r="L139" s="46"/>
      <c r="M139" s="46"/>
      <c r="N139" s="46"/>
      <c r="O139" s="46"/>
      <c r="P139" s="46"/>
      <c r="Q139" s="46"/>
      <c r="R139" s="46"/>
      <c r="S139" s="46"/>
      <c r="T139" s="46"/>
      <c r="U139" s="46"/>
      <c r="V139" s="46"/>
      <c r="W139" s="46"/>
      <c r="X139" s="46"/>
      <c r="Y139" s="46"/>
      <c r="Z139" s="46"/>
      <c r="AA139" s="46"/>
    </row>
    <row r="140" spans="1:27" s="40" customFormat="1">
      <c r="A140" s="46"/>
      <c r="B140" s="112"/>
      <c r="C140" s="304" t="s">
        <v>491</v>
      </c>
      <c r="D140" s="304" t="s">
        <v>30</v>
      </c>
      <c r="E140" s="304" t="s">
        <v>18</v>
      </c>
      <c r="F140" s="46"/>
      <c r="G140" s="109" t="s">
        <v>509</v>
      </c>
      <c r="H140" s="46"/>
      <c r="I140" s="46"/>
      <c r="J140" s="46"/>
      <c r="K140" s="46"/>
      <c r="L140" s="46"/>
      <c r="M140" s="46"/>
      <c r="N140" s="46"/>
      <c r="O140" s="46"/>
      <c r="P140" s="46"/>
      <c r="Q140" s="46"/>
      <c r="R140" s="46"/>
      <c r="S140" s="46"/>
      <c r="T140" s="46"/>
      <c r="U140" s="46"/>
      <c r="V140" s="46"/>
      <c r="W140" s="46"/>
      <c r="X140" s="46"/>
      <c r="Y140" s="46"/>
      <c r="Z140" s="46"/>
      <c r="AA140" s="46"/>
    </row>
    <row r="141" spans="1:27" s="40" customFormat="1">
      <c r="A141" s="46"/>
      <c r="B141" s="112"/>
      <c r="C141" s="652" t="s">
        <v>596</v>
      </c>
      <c r="D141" s="301">
        <v>1</v>
      </c>
      <c r="E141" s="301" t="s">
        <v>555</v>
      </c>
      <c r="F141" s="46"/>
      <c r="G141" s="109" t="s">
        <v>508</v>
      </c>
      <c r="H141" s="46"/>
      <c r="I141" s="46"/>
      <c r="J141" s="46"/>
      <c r="K141" s="46"/>
      <c r="L141" s="46"/>
      <c r="M141" s="46"/>
      <c r="N141" s="46"/>
      <c r="O141" s="46"/>
      <c r="P141" s="46"/>
      <c r="Q141" s="46"/>
      <c r="R141" s="46"/>
      <c r="S141" s="46"/>
      <c r="T141" s="46"/>
      <c r="U141" s="46"/>
      <c r="V141" s="46"/>
      <c r="W141" s="46"/>
      <c r="X141" s="46"/>
      <c r="Y141" s="46"/>
      <c r="Z141" s="46"/>
      <c r="AA141" s="46"/>
    </row>
    <row r="142" spans="1:27" s="40" customFormat="1">
      <c r="A142" s="46"/>
      <c r="B142" s="112"/>
      <c r="C142" s="651"/>
      <c r="D142" s="479">
        <v>3600</v>
      </c>
      <c r="E142" s="301" t="s">
        <v>20</v>
      </c>
      <c r="F142" s="109"/>
      <c r="G142" s="331" t="s">
        <v>605</v>
      </c>
      <c r="H142" s="46"/>
      <c r="I142" s="46"/>
      <c r="J142" s="46"/>
      <c r="K142" s="46"/>
      <c r="L142" s="46"/>
      <c r="M142" s="46"/>
      <c r="N142" s="46"/>
      <c r="O142" s="46"/>
      <c r="P142" s="46"/>
      <c r="Q142" s="46"/>
      <c r="R142" s="46"/>
      <c r="S142" s="46"/>
      <c r="T142" s="46"/>
      <c r="U142" s="46"/>
      <c r="V142" s="46"/>
      <c r="W142" s="46"/>
      <c r="X142" s="46"/>
      <c r="Y142" s="46"/>
      <c r="Z142" s="46"/>
      <c r="AA142" s="46"/>
    </row>
    <row r="143" spans="1:27" s="40" customFormat="1">
      <c r="A143" s="46"/>
      <c r="B143" s="112"/>
      <c r="C143" s="480" t="s">
        <v>593</v>
      </c>
      <c r="D143" s="301">
        <f>'Common ReferenceData Set Output'!D14</f>
        <v>200.19</v>
      </c>
      <c r="E143" s="301" t="s">
        <v>15</v>
      </c>
      <c r="F143" s="191"/>
      <c r="G143" s="191"/>
      <c r="H143" s="46"/>
      <c r="I143" s="46"/>
      <c r="J143" s="46"/>
      <c r="K143" s="46"/>
      <c r="L143" s="46"/>
      <c r="M143" s="46"/>
      <c r="N143" s="46"/>
      <c r="O143" s="46"/>
      <c r="P143" s="46"/>
      <c r="Q143" s="46"/>
      <c r="R143" s="46"/>
      <c r="S143" s="46"/>
      <c r="T143" s="46"/>
      <c r="U143" s="46"/>
      <c r="V143" s="46"/>
      <c r="W143" s="46"/>
      <c r="X143" s="46"/>
      <c r="Y143" s="46"/>
      <c r="Z143" s="46"/>
      <c r="AA143" s="46"/>
    </row>
    <row r="144" spans="1:27" s="40" customFormat="1">
      <c r="A144" s="46"/>
      <c r="B144" s="112"/>
      <c r="C144" s="46"/>
      <c r="D144" s="46"/>
      <c r="E144" s="88"/>
      <c r="F144" s="328"/>
      <c r="G144" s="46"/>
      <c r="H144" s="46"/>
      <c r="I144" s="46"/>
      <c r="J144" s="46"/>
      <c r="K144" s="46"/>
      <c r="L144" s="46"/>
      <c r="M144" s="46"/>
      <c r="N144" s="46"/>
      <c r="O144" s="46"/>
      <c r="P144" s="46"/>
      <c r="Q144" s="46"/>
      <c r="R144" s="46"/>
      <c r="S144" s="46"/>
      <c r="T144" s="46"/>
      <c r="U144" s="46"/>
      <c r="V144" s="46"/>
      <c r="W144" s="46"/>
      <c r="X144" s="46"/>
      <c r="Y144" s="46"/>
      <c r="Z144" s="46"/>
      <c r="AA144" s="46"/>
    </row>
    <row r="145" spans="1:27" s="40" customFormat="1" ht="52">
      <c r="A145" s="46"/>
      <c r="B145" s="112"/>
      <c r="C145" s="521" t="s">
        <v>603</v>
      </c>
      <c r="D145" s="455"/>
      <c r="E145" s="455"/>
      <c r="F145" s="455"/>
      <c r="G145" s="455"/>
      <c r="H145" s="457"/>
      <c r="I145" s="306"/>
      <c r="J145" s="306"/>
      <c r="K145" s="304" t="s">
        <v>577</v>
      </c>
      <c r="L145" s="302" t="s">
        <v>580</v>
      </c>
      <c r="M145" s="302" t="s">
        <v>581</v>
      </c>
      <c r="N145" s="315" t="s">
        <v>610</v>
      </c>
      <c r="O145" s="315" t="s">
        <v>611</v>
      </c>
      <c r="P145" s="302" t="s">
        <v>588</v>
      </c>
      <c r="Q145" s="46"/>
      <c r="R145" s="46"/>
      <c r="S145" s="46"/>
      <c r="T145" s="46"/>
      <c r="U145" s="46"/>
      <c r="V145" s="46"/>
      <c r="W145" s="46"/>
      <c r="X145" s="46"/>
      <c r="Y145" s="46"/>
      <c r="Z145" s="46"/>
      <c r="AA145" s="46"/>
    </row>
    <row r="146" spans="1:27" s="40" customFormat="1">
      <c r="A146" s="46"/>
      <c r="B146" s="112"/>
      <c r="C146" s="276" t="s">
        <v>836</v>
      </c>
      <c r="D146" s="305" t="s">
        <v>20</v>
      </c>
      <c r="E146" s="297">
        <f>$D$143/E149</f>
        <v>9.0085499999999996</v>
      </c>
      <c r="F146" s="297">
        <f>$D$143/F149</f>
        <v>2.882736</v>
      </c>
      <c r="G146" s="297">
        <f>$D$143/G149</f>
        <v>2.4022800000000002</v>
      </c>
      <c r="H146" s="297">
        <f>$D$143/H149</f>
        <v>2.0590971428571425</v>
      </c>
      <c r="I146" s="322"/>
      <c r="J146" s="322"/>
      <c r="K146" s="303" t="s">
        <v>578</v>
      </c>
      <c r="L146" s="305">
        <v>80</v>
      </c>
      <c r="M146" s="299">
        <v>80</v>
      </c>
      <c r="N146" s="279">
        <f>0.00002*10^(L146/20)</f>
        <v>0.2</v>
      </c>
      <c r="O146" s="338">
        <f>0.00002*10^(M146/20)</f>
        <v>0.2</v>
      </c>
      <c r="P146" s="329">
        <f>O146/N146</f>
        <v>1</v>
      </c>
      <c r="Q146" s="46"/>
      <c r="R146" s="46"/>
      <c r="S146" s="46"/>
      <c r="T146" s="46"/>
      <c r="U146" s="46"/>
      <c r="V146" s="46"/>
      <c r="W146" s="46"/>
      <c r="X146" s="46"/>
      <c r="Y146" s="46"/>
      <c r="Z146" s="46"/>
      <c r="AA146" s="46"/>
    </row>
    <row r="147" spans="1:27" s="40" customFormat="1" ht="31" customHeight="1">
      <c r="A147" s="46"/>
      <c r="B147" s="112"/>
      <c r="C147" s="437" t="s">
        <v>835</v>
      </c>
      <c r="D147" s="277"/>
      <c r="E147" s="279">
        <f>E146/$D$142</f>
        <v>2.5023749999999998E-3</v>
      </c>
      <c r="F147" s="279">
        <f>F146/$D$142</f>
        <v>8.0075999999999997E-4</v>
      </c>
      <c r="G147" s="279">
        <f>G146/$D$142</f>
        <v>6.6730000000000001E-4</v>
      </c>
      <c r="H147" s="279">
        <f>H146/$D$142</f>
        <v>5.7197142857142846E-4</v>
      </c>
      <c r="I147" s="323"/>
      <c r="J147" s="323"/>
      <c r="K147" s="303" t="s">
        <v>579</v>
      </c>
      <c r="L147" s="305">
        <v>95</v>
      </c>
      <c r="M147" s="299">
        <v>95</v>
      </c>
      <c r="N147" s="279">
        <f t="shared" ref="N147:N155" si="24">0.00002*10^(L147/20)</f>
        <v>1.124682650380699</v>
      </c>
      <c r="O147" s="338">
        <f t="shared" ref="O147:O155" si="25">0.00002*10^(M147/20)</f>
        <v>1.124682650380699</v>
      </c>
      <c r="P147" s="329">
        <f t="shared" ref="P147:P155" si="26">O147/N147</f>
        <v>1</v>
      </c>
      <c r="Q147" s="46"/>
      <c r="R147" s="46"/>
      <c r="S147" s="46"/>
      <c r="T147" s="46"/>
      <c r="U147" s="46"/>
      <c r="V147" s="46"/>
      <c r="W147" s="46"/>
      <c r="X147" s="46"/>
      <c r="Y147" s="46"/>
      <c r="Z147" s="46"/>
      <c r="AA147" s="46"/>
    </row>
    <row r="148" spans="1:27" s="40" customFormat="1">
      <c r="A148" s="46"/>
      <c r="B148" s="112"/>
      <c r="C148" s="641" t="s">
        <v>594</v>
      </c>
      <c r="D148" s="520" t="s">
        <v>19</v>
      </c>
      <c r="E148" s="297">
        <v>80</v>
      </c>
      <c r="F148" s="297">
        <v>250</v>
      </c>
      <c r="G148" s="297">
        <v>300</v>
      </c>
      <c r="H148" s="297">
        <v>350</v>
      </c>
      <c r="I148" s="323"/>
      <c r="J148" s="323"/>
      <c r="K148" s="303" t="s">
        <v>830</v>
      </c>
      <c r="L148" s="218">
        <v>70</v>
      </c>
      <c r="M148" s="299">
        <f>E156</f>
        <v>56.347258009175761</v>
      </c>
      <c r="N148" s="279">
        <f t="shared" si="24"/>
        <v>6.324555320336761E-2</v>
      </c>
      <c r="O148" s="338">
        <f t="shared" si="25"/>
        <v>1.3133875529066941E-2</v>
      </c>
      <c r="P148" s="329">
        <f t="shared" si="26"/>
        <v>0.20766480588500263</v>
      </c>
      <c r="Q148" s="46"/>
      <c r="R148" s="46"/>
      <c r="S148" s="46"/>
      <c r="T148" s="46"/>
      <c r="U148" s="46"/>
      <c r="V148" s="46"/>
      <c r="W148" s="46"/>
      <c r="X148" s="46"/>
      <c r="Y148" s="46"/>
      <c r="Z148" s="46"/>
      <c r="AA148" s="46"/>
    </row>
    <row r="149" spans="1:27" s="40" customFormat="1">
      <c r="A149" s="46"/>
      <c r="B149" s="112"/>
      <c r="C149" s="646"/>
      <c r="D149" s="278" t="s">
        <v>243</v>
      </c>
      <c r="E149" s="297">
        <f>E148*1000/3600</f>
        <v>22.222222222222221</v>
      </c>
      <c r="F149" s="297">
        <f>F148*1000/3600</f>
        <v>69.444444444444443</v>
      </c>
      <c r="G149" s="297">
        <f t="shared" ref="G149" si="27">G148*1000/3600</f>
        <v>83.333333333333329</v>
      </c>
      <c r="H149" s="297">
        <f t="shared" ref="H149" si="28">H148*1000/3600</f>
        <v>97.222222222222229</v>
      </c>
      <c r="I149" s="323"/>
      <c r="J149" s="323"/>
      <c r="K149" s="303" t="s">
        <v>831</v>
      </c>
      <c r="L149" s="218">
        <v>70</v>
      </c>
      <c r="M149" s="299">
        <f>E159</f>
        <v>58.108170599732574</v>
      </c>
      <c r="N149" s="279">
        <f t="shared" si="24"/>
        <v>6.324555320336761E-2</v>
      </c>
      <c r="O149" s="338">
        <f t="shared" si="25"/>
        <v>1.608564669572024E-2</v>
      </c>
      <c r="P149" s="329">
        <f t="shared" si="26"/>
        <v>0.25433640597618701</v>
      </c>
      <c r="Q149" s="46"/>
      <c r="R149" s="46"/>
      <c r="S149" s="46"/>
      <c r="T149" s="46"/>
      <c r="U149" s="46"/>
      <c r="V149" s="46"/>
      <c r="W149" s="46"/>
      <c r="X149" s="46"/>
      <c r="Y149" s="46"/>
      <c r="Z149" s="46"/>
      <c r="AA149" s="46"/>
    </row>
    <row r="150" spans="1:27" s="40" customFormat="1" ht="28">
      <c r="A150" s="46"/>
      <c r="B150" s="112"/>
      <c r="C150" s="277" t="s">
        <v>781</v>
      </c>
      <c r="D150" s="305" t="s">
        <v>28</v>
      </c>
      <c r="E150" s="525">
        <f>'Common ReferenceData Set Output'!I166</f>
        <v>66.343134170111227</v>
      </c>
      <c r="F150" s="525">
        <f>'Common ReferenceData Set Output'!I169</f>
        <v>81.295401283797389</v>
      </c>
      <c r="G150" s="525">
        <f>'Common ReferenceData Set Output'!I170</f>
        <v>84.530356728421921</v>
      </c>
      <c r="H150" s="297">
        <f>'Common ReferenceData Set Output'!I171</f>
        <v>87.686704816296668</v>
      </c>
      <c r="I150" s="322"/>
      <c r="J150" s="322"/>
      <c r="K150" s="303" t="s">
        <v>829</v>
      </c>
      <c r="L150" s="218">
        <v>70</v>
      </c>
      <c r="M150" s="299">
        <f>F156</f>
        <v>66.351024906060999</v>
      </c>
      <c r="N150" s="279">
        <f t="shared" si="24"/>
        <v>6.324555320336761E-2</v>
      </c>
      <c r="O150" s="338">
        <f t="shared" si="25"/>
        <v>4.1550977099170945E-2</v>
      </c>
      <c r="P150" s="329">
        <f t="shared" si="26"/>
        <v>0.65697863319438077</v>
      </c>
      <c r="Q150" s="46"/>
      <c r="R150" s="46"/>
      <c r="S150" s="46"/>
      <c r="T150" s="46"/>
      <c r="U150" s="46"/>
      <c r="V150" s="46"/>
      <c r="W150" s="46"/>
      <c r="X150" s="46"/>
      <c r="Y150" s="46"/>
      <c r="Z150" s="46"/>
      <c r="AA150" s="46"/>
    </row>
    <row r="151" spans="1:27" s="40" customFormat="1" ht="84.5" customHeight="1">
      <c r="A151" s="46"/>
      <c r="B151" s="112"/>
      <c r="C151" s="395" t="s">
        <v>604</v>
      </c>
      <c r="D151" s="687"/>
      <c r="E151" s="600" t="s">
        <v>753</v>
      </c>
      <c r="F151" s="528"/>
      <c r="G151" s="527"/>
      <c r="H151" s="524"/>
      <c r="I151" s="324"/>
      <c r="J151" s="324"/>
      <c r="K151" s="303" t="s">
        <v>832</v>
      </c>
      <c r="L151" s="218">
        <v>70</v>
      </c>
      <c r="M151" s="299">
        <f>F159</f>
        <v>68.111937496617799</v>
      </c>
      <c r="N151" s="279">
        <f t="shared" si="24"/>
        <v>6.324555320336761E-2</v>
      </c>
      <c r="O151" s="338">
        <f t="shared" si="25"/>
        <v>5.0889346103518959E-2</v>
      </c>
      <c r="P151" s="329">
        <f t="shared" si="26"/>
        <v>0.80463121161867357</v>
      </c>
      <c r="Q151" s="46"/>
      <c r="R151" s="46"/>
      <c r="S151" s="46"/>
      <c r="T151" s="46"/>
      <c r="U151" s="46"/>
      <c r="V151" s="46"/>
      <c r="W151" s="46"/>
      <c r="X151" s="46"/>
      <c r="Y151" s="46"/>
      <c r="Z151" s="46"/>
      <c r="AA151" s="46"/>
    </row>
    <row r="152" spans="1:27" s="40" customFormat="1">
      <c r="A152" s="46"/>
      <c r="B152" s="112"/>
      <c r="C152" s="684">
        <v>8</v>
      </c>
      <c r="D152" s="683"/>
      <c r="E152" s="686">
        <f>10*LOG10(C152*$E$147*10^($E$150/10))</f>
        <v>49.357557965815573</v>
      </c>
      <c r="F152" s="526">
        <f>10*LOG10(C152*$F$147*10^($F$150/10))</f>
        <v>59.361324862700812</v>
      </c>
      <c r="G152" s="526">
        <f>10*LOG10(C152*$G$147*10^($G$150/10))</f>
        <v>61.804467846849093</v>
      </c>
      <c r="H152" s="297">
        <f>10*LOG10(C152*$H$147*10^($H$150/10))</f>
        <v>64.291348038417681</v>
      </c>
      <c r="I152" s="322"/>
      <c r="J152" s="322"/>
      <c r="K152" s="303" t="s">
        <v>827</v>
      </c>
      <c r="L152" s="218">
        <v>70</v>
      </c>
      <c r="M152" s="299">
        <f>G156</f>
        <v>68.79416789020928</v>
      </c>
      <c r="N152" s="279">
        <f t="shared" si="24"/>
        <v>6.324555320336761E-2</v>
      </c>
      <c r="O152" s="338">
        <f t="shared" si="25"/>
        <v>5.5047600139273303E-2</v>
      </c>
      <c r="P152" s="329">
        <f t="shared" si="26"/>
        <v>0.87037898083152831</v>
      </c>
      <c r="Q152" s="46"/>
      <c r="R152" s="46"/>
      <c r="S152" s="46"/>
      <c r="T152" s="46"/>
      <c r="U152" s="46"/>
      <c r="V152" s="46"/>
      <c r="W152" s="46"/>
      <c r="X152" s="46"/>
      <c r="Y152" s="46"/>
      <c r="Z152" s="46"/>
      <c r="AA152" s="46"/>
    </row>
    <row r="153" spans="1:27" s="40" customFormat="1">
      <c r="A153" s="46"/>
      <c r="B153" s="112"/>
      <c r="C153" s="684">
        <v>16</v>
      </c>
      <c r="D153" s="683"/>
      <c r="E153" s="681">
        <f t="shared" ref="E153:E159" si="29">10*LOG10(C153*$E$147*10^($E$150/10))</f>
        <v>52.367857922455386</v>
      </c>
      <c r="F153" s="297">
        <f t="shared" ref="F153:F159" si="30">10*LOG10(C153*$F$147*10^($F$150/10))</f>
        <v>62.37162481934061</v>
      </c>
      <c r="G153" s="297">
        <f t="shared" ref="G153:G159" si="31">10*LOG10(C153*$G$147*10^($G$150/10))</f>
        <v>64.814767803488891</v>
      </c>
      <c r="H153" s="297">
        <f t="shared" ref="H153:H159" si="32">10*LOG10(C153*$H$147*10^($H$150/10))</f>
        <v>67.301647995057493</v>
      </c>
      <c r="I153" s="322"/>
      <c r="J153" s="322"/>
      <c r="K153" s="303" t="s">
        <v>828</v>
      </c>
      <c r="L153" s="218">
        <v>70</v>
      </c>
      <c r="M153" s="299">
        <f>G159</f>
        <v>70.555080480766094</v>
      </c>
      <c r="N153" s="279">
        <f t="shared" si="24"/>
        <v>6.324555320336761E-2</v>
      </c>
      <c r="O153" s="338">
        <f t="shared" si="25"/>
        <v>6.7419265952989874E-2</v>
      </c>
      <c r="P153" s="329">
        <f t="shared" si="26"/>
        <v>1.0659921929404521</v>
      </c>
      <c r="Q153" s="46"/>
      <c r="R153" s="46"/>
      <c r="S153" s="46"/>
      <c r="T153" s="46"/>
      <c r="U153" s="46"/>
      <c r="V153" s="46"/>
      <c r="W153" s="46"/>
      <c r="X153" s="46"/>
      <c r="Y153" s="46"/>
      <c r="Z153" s="46"/>
      <c r="AA153" s="46"/>
    </row>
    <row r="154" spans="1:27" s="40" customFormat="1">
      <c r="A154" s="46"/>
      <c r="B154" s="112"/>
      <c r="C154" s="684">
        <v>24</v>
      </c>
      <c r="D154" s="683"/>
      <c r="E154" s="681">
        <f t="shared" si="29"/>
        <v>54.128770513012192</v>
      </c>
      <c r="F154" s="297">
        <f t="shared" si="30"/>
        <v>64.132537409897424</v>
      </c>
      <c r="G154" s="297">
        <f t="shared" si="31"/>
        <v>66.575680394045705</v>
      </c>
      <c r="H154" s="297">
        <f t="shared" si="32"/>
        <v>69.062560585614307</v>
      </c>
      <c r="I154" s="322"/>
      <c r="J154" s="322"/>
      <c r="K154" s="330" t="s">
        <v>833</v>
      </c>
      <c r="L154" s="218">
        <v>70</v>
      </c>
      <c r="M154" s="299">
        <f>H156</f>
        <v>71.281048081777868</v>
      </c>
      <c r="N154" s="279">
        <f t="shared" si="24"/>
        <v>6.324555320336761E-2</v>
      </c>
      <c r="O154" s="338">
        <f t="shared" si="25"/>
        <v>7.3296358691868929E-2</v>
      </c>
      <c r="P154" s="329">
        <f t="shared" si="26"/>
        <v>1.1589171883149272</v>
      </c>
      <c r="Q154" s="46"/>
      <c r="R154" s="46"/>
      <c r="S154" s="46"/>
      <c r="T154" s="46"/>
      <c r="U154" s="46"/>
      <c r="V154" s="46"/>
      <c r="W154" s="46"/>
      <c r="X154" s="46"/>
      <c r="Y154" s="46"/>
      <c r="Z154" s="46"/>
      <c r="AA154" s="46"/>
    </row>
    <row r="155" spans="1:27" s="40" customFormat="1">
      <c r="A155" s="46"/>
      <c r="B155" s="112"/>
      <c r="C155" s="684">
        <v>32</v>
      </c>
      <c r="D155" s="683"/>
      <c r="E155" s="681">
        <f t="shared" si="29"/>
        <v>55.378157879095198</v>
      </c>
      <c r="F155" s="297">
        <f t="shared" si="30"/>
        <v>65.381924775980423</v>
      </c>
      <c r="G155" s="297">
        <f t="shared" si="31"/>
        <v>67.825067760128704</v>
      </c>
      <c r="H155" s="297">
        <f t="shared" si="32"/>
        <v>70.311947951697306</v>
      </c>
      <c r="I155" s="322"/>
      <c r="J155" s="322"/>
      <c r="K155" s="330" t="s">
        <v>834</v>
      </c>
      <c r="L155" s="218">
        <v>70</v>
      </c>
      <c r="M155" s="299">
        <f>H159</f>
        <v>73.041960672334682</v>
      </c>
      <c r="N155" s="279">
        <f t="shared" si="24"/>
        <v>6.324555320336761E-2</v>
      </c>
      <c r="O155" s="338">
        <f t="shared" si="25"/>
        <v>8.9769339399544762E-2</v>
      </c>
      <c r="P155" s="329">
        <f t="shared" si="26"/>
        <v>1.4193778827562671</v>
      </c>
      <c r="Q155" s="46"/>
      <c r="R155" s="46"/>
      <c r="S155" s="46"/>
      <c r="T155" s="46"/>
      <c r="U155" s="46"/>
      <c r="V155" s="46"/>
      <c r="W155" s="46"/>
      <c r="X155" s="46"/>
      <c r="Y155" s="46"/>
      <c r="Z155" s="46"/>
      <c r="AA155" s="46"/>
    </row>
    <row r="156" spans="1:27" s="40" customFormat="1">
      <c r="A156" s="46"/>
      <c r="B156" s="112"/>
      <c r="C156" s="684">
        <v>40</v>
      </c>
      <c r="D156" s="683"/>
      <c r="E156" s="681">
        <f t="shared" si="29"/>
        <v>56.347258009175761</v>
      </c>
      <c r="F156" s="297">
        <f t="shared" si="30"/>
        <v>66.351024906060999</v>
      </c>
      <c r="G156" s="297">
        <f t="shared" si="31"/>
        <v>68.79416789020928</v>
      </c>
      <c r="H156" s="297">
        <f t="shared" si="32"/>
        <v>71.281048081777868</v>
      </c>
      <c r="I156" s="322"/>
      <c r="J156" s="322"/>
      <c r="K156" s="327"/>
      <c r="L156" s="322"/>
      <c r="M156" s="322"/>
      <c r="N156" s="322"/>
      <c r="O156" s="46"/>
      <c r="P156" s="46"/>
      <c r="Q156" s="46"/>
      <c r="R156" s="46"/>
      <c r="S156" s="46"/>
      <c r="T156" s="46"/>
      <c r="U156" s="46"/>
      <c r="V156" s="46"/>
      <c r="W156" s="46"/>
      <c r="X156" s="46"/>
      <c r="Y156" s="46"/>
      <c r="Z156" s="46"/>
      <c r="AA156" s="46"/>
    </row>
    <row r="157" spans="1:27" s="40" customFormat="1" ht="15">
      <c r="A157" s="46"/>
      <c r="B157" s="112"/>
      <c r="C157" s="684">
        <v>48</v>
      </c>
      <c r="D157" s="683"/>
      <c r="E157" s="681">
        <f t="shared" si="29"/>
        <v>57.139070469652005</v>
      </c>
      <c r="F157" s="297">
        <f t="shared" si="30"/>
        <v>67.142837366537236</v>
      </c>
      <c r="G157" s="297">
        <f t="shared" si="31"/>
        <v>69.585980350685517</v>
      </c>
      <c r="H157" s="297">
        <f t="shared" si="32"/>
        <v>72.072860542254119</v>
      </c>
      <c r="I157" s="322"/>
      <c r="J157" s="322"/>
      <c r="K157" s="327"/>
      <c r="L157" s="340" t="s">
        <v>614</v>
      </c>
      <c r="M157" s="322"/>
      <c r="N157" s="322"/>
      <c r="O157" s="46"/>
      <c r="P157" s="46"/>
      <c r="Q157" s="46"/>
      <c r="R157" s="46"/>
      <c r="S157" s="46"/>
      <c r="T157" s="46"/>
      <c r="U157" s="46"/>
      <c r="V157" s="46"/>
      <c r="W157" s="46"/>
      <c r="X157" s="46"/>
      <c r="Y157" s="46"/>
      <c r="Z157" s="46"/>
      <c r="AA157" s="46"/>
    </row>
    <row r="158" spans="1:27" s="40" customFormat="1">
      <c r="A158" s="46"/>
      <c r="B158" s="112"/>
      <c r="C158" s="684">
        <v>56</v>
      </c>
      <c r="D158" s="683"/>
      <c r="E158" s="681">
        <f t="shared" si="29"/>
        <v>57.808538365958135</v>
      </c>
      <c r="F158" s="297">
        <f t="shared" si="30"/>
        <v>67.812305262843367</v>
      </c>
      <c r="G158" s="297">
        <f t="shared" si="31"/>
        <v>70.255448246991648</v>
      </c>
      <c r="H158" s="297">
        <f t="shared" si="32"/>
        <v>72.74232843856025</v>
      </c>
      <c r="I158" s="322"/>
      <c r="J158" s="322"/>
      <c r="K158" s="327"/>
      <c r="L158" s="322"/>
      <c r="M158" s="322"/>
      <c r="N158" s="322"/>
      <c r="O158" s="46"/>
      <c r="P158" s="46"/>
      <c r="Q158" s="46"/>
      <c r="R158" s="46"/>
      <c r="S158" s="46"/>
      <c r="T158" s="46"/>
      <c r="U158" s="46"/>
      <c r="V158" s="46"/>
      <c r="W158" s="46"/>
      <c r="X158" s="46"/>
      <c r="Y158" s="46"/>
      <c r="Z158" s="46"/>
      <c r="AA158" s="46"/>
    </row>
    <row r="159" spans="1:27" s="40" customFormat="1">
      <c r="A159" s="46"/>
      <c r="B159" s="112"/>
      <c r="C159" s="688">
        <v>60</v>
      </c>
      <c r="D159" s="670"/>
      <c r="E159" s="681">
        <f t="shared" si="29"/>
        <v>58.108170599732574</v>
      </c>
      <c r="F159" s="297">
        <f t="shared" si="30"/>
        <v>68.111937496617799</v>
      </c>
      <c r="G159" s="297">
        <f t="shared" si="31"/>
        <v>70.555080480766094</v>
      </c>
      <c r="H159" s="297">
        <f t="shared" si="32"/>
        <v>73.041960672334682</v>
      </c>
      <c r="I159" s="46"/>
      <c r="J159" s="46"/>
      <c r="K159" s="46"/>
      <c r="L159" s="46"/>
      <c r="M159" s="46"/>
      <c r="N159" s="46"/>
      <c r="O159" s="46"/>
      <c r="P159" s="46"/>
      <c r="Q159" s="46"/>
      <c r="R159" s="46"/>
      <c r="S159" s="46"/>
      <c r="T159" s="46"/>
      <c r="U159" s="46"/>
      <c r="V159" s="46"/>
      <c r="W159" s="46"/>
      <c r="X159" s="46"/>
      <c r="Y159" s="46"/>
      <c r="Z159" s="46"/>
      <c r="AA159" s="46"/>
    </row>
    <row r="160" spans="1:27" s="40" customFormat="1">
      <c r="A160" s="46"/>
      <c r="B160" s="112"/>
      <c r="C160" s="46"/>
      <c r="D160" s="46"/>
      <c r="E160" s="88"/>
      <c r="F160" s="328"/>
      <c r="G160" s="46"/>
      <c r="H160" s="46"/>
      <c r="I160" s="46"/>
      <c r="J160" s="46"/>
      <c r="K160" s="46"/>
      <c r="L160" s="46"/>
      <c r="M160" s="46"/>
      <c r="N160" s="46"/>
      <c r="O160" s="46"/>
      <c r="P160" s="46"/>
      <c r="Q160" s="46"/>
      <c r="R160" s="46"/>
      <c r="S160" s="46"/>
      <c r="T160" s="46"/>
      <c r="U160" s="46"/>
      <c r="V160" s="46"/>
      <c r="W160" s="46"/>
      <c r="X160" s="46"/>
      <c r="Y160" s="46"/>
      <c r="Z160" s="46"/>
      <c r="AA160" s="46"/>
    </row>
    <row r="161" spans="1:27">
      <c r="A161" s="46"/>
      <c r="B161" s="46"/>
      <c r="C161" s="308"/>
      <c r="D161" s="46"/>
      <c r="E161" s="88"/>
      <c r="F161" s="46"/>
      <c r="G161" s="46"/>
      <c r="H161" s="46"/>
      <c r="I161" s="46"/>
      <c r="J161" s="46"/>
      <c r="K161" s="46"/>
      <c r="L161" s="46"/>
      <c r="M161" s="46"/>
      <c r="N161" s="46"/>
      <c r="O161" s="46"/>
      <c r="P161" s="46"/>
      <c r="Q161" s="46"/>
      <c r="R161" s="46"/>
      <c r="S161" s="46"/>
      <c r="T161" s="46"/>
      <c r="U161" s="46"/>
      <c r="V161" s="46"/>
      <c r="W161" s="46"/>
      <c r="X161" s="46"/>
      <c r="Y161" s="46"/>
      <c r="Z161" s="46"/>
      <c r="AA161" s="46"/>
    </row>
    <row r="162" spans="1:27">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row>
    <row r="163" spans="1:27">
      <c r="A163" s="46"/>
      <c r="B163" s="46"/>
      <c r="C163" s="308"/>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row>
    <row r="164" spans="1:27">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row>
    <row r="165" spans="1:27">
      <c r="A165" s="46"/>
      <c r="B165" s="46"/>
      <c r="C165" s="308"/>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row>
    <row r="166" spans="1:27">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row>
    <row r="167" spans="1:27">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row>
    <row r="168" spans="1:27">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row>
    <row r="169" spans="1:27">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row>
    <row r="170" spans="1:27">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row>
    <row r="171" spans="1:27">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row>
    <row r="172" spans="1:27">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row>
    <row r="173" spans="1:27">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row>
    <row r="174" spans="1:27">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row>
    <row r="175" spans="1:27">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row>
    <row r="176" spans="1:27">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row>
    <row r="177" spans="1:27">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row>
    <row r="178" spans="1:27">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row>
    <row r="179" spans="1:27">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row>
    <row r="180" spans="1:27">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row>
    <row r="181" spans="1:27">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row>
    <row r="182" spans="1:27">
      <c r="A182" s="46"/>
      <c r="B182" s="46"/>
      <c r="C182" s="46"/>
      <c r="D182" s="46"/>
      <c r="E182" s="46"/>
      <c r="F182" s="46"/>
      <c r="G182" s="46"/>
      <c r="H182" s="46"/>
      <c r="I182" s="46"/>
      <c r="J182" s="46" t="s">
        <v>190</v>
      </c>
      <c r="K182" s="46"/>
      <c r="L182" s="46"/>
      <c r="M182" s="46"/>
      <c r="N182" s="46"/>
      <c r="O182" s="46"/>
      <c r="P182" s="46"/>
      <c r="Q182" s="46"/>
      <c r="R182" s="46"/>
      <c r="S182" s="46"/>
      <c r="T182" s="46"/>
      <c r="U182" s="46"/>
      <c r="V182" s="46"/>
      <c r="W182" s="46"/>
      <c r="X182" s="46"/>
      <c r="Y182" s="46"/>
      <c r="Z182" s="46"/>
      <c r="AA182" s="46"/>
    </row>
    <row r="183" spans="1:27">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row>
    <row r="184" spans="1:27" s="40" customForma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row>
    <row r="185" spans="1:27">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row>
    <row r="186" spans="1:27">
      <c r="A186" s="46"/>
      <c r="B186" s="112" t="s">
        <v>735</v>
      </c>
      <c r="C186" s="46"/>
      <c r="D186" s="46"/>
      <c r="E186" s="346"/>
      <c r="F186" s="347"/>
      <c r="G186" s="168"/>
      <c r="H186" s="46"/>
      <c r="I186" s="46"/>
      <c r="J186" s="46"/>
      <c r="K186" s="46"/>
      <c r="L186" s="46"/>
      <c r="M186" s="46"/>
      <c r="N186" s="46"/>
      <c r="O186" s="46"/>
      <c r="P186" s="46"/>
      <c r="Q186" s="46"/>
      <c r="R186" s="46"/>
      <c r="S186" s="46"/>
      <c r="T186" s="46"/>
      <c r="U186" s="46"/>
      <c r="V186" s="46"/>
      <c r="W186" s="46"/>
      <c r="X186" s="46"/>
      <c r="Y186" s="46"/>
      <c r="Z186" s="46"/>
      <c r="AA186" s="46"/>
    </row>
    <row r="187" spans="1:27">
      <c r="A187" s="46"/>
      <c r="B187" s="46"/>
      <c r="C187" s="168"/>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row>
    <row r="188" spans="1:27">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row>
    <row r="189" spans="1:27">
      <c r="A189" s="46"/>
      <c r="B189" s="46"/>
      <c r="C189" s="46"/>
      <c r="D189" s="46"/>
      <c r="E189" s="46" t="s">
        <v>86</v>
      </c>
      <c r="F189" s="46"/>
      <c r="G189" s="46"/>
      <c r="H189" s="46"/>
      <c r="I189" s="46"/>
      <c r="J189" s="46"/>
      <c r="K189" s="46"/>
      <c r="L189" s="46"/>
      <c r="M189" s="46"/>
      <c r="N189" s="46"/>
      <c r="O189" s="46"/>
      <c r="P189" s="46"/>
      <c r="Q189" s="46"/>
      <c r="R189" s="46"/>
      <c r="S189" s="46"/>
      <c r="T189" s="46"/>
      <c r="U189" s="46"/>
      <c r="V189" s="46"/>
      <c r="W189" s="46"/>
      <c r="X189" s="46"/>
      <c r="Y189" s="46"/>
      <c r="Z189" s="46"/>
      <c r="AA189" s="46"/>
    </row>
    <row r="190" spans="1:27" ht="52">
      <c r="A190" s="46"/>
      <c r="B190" s="46"/>
      <c r="C190" s="345"/>
      <c r="D190" s="345"/>
      <c r="E190" s="345"/>
      <c r="F190" s="345"/>
      <c r="G190" s="46"/>
      <c r="H190" s="334"/>
      <c r="I190" s="46"/>
      <c r="J190" s="46"/>
      <c r="K190" s="317" t="s">
        <v>577</v>
      </c>
      <c r="L190" s="315" t="s">
        <v>580</v>
      </c>
      <c r="M190" s="315" t="s">
        <v>581</v>
      </c>
      <c r="N190" s="315" t="s">
        <v>610</v>
      </c>
      <c r="O190" s="315" t="s">
        <v>611</v>
      </c>
      <c r="P190" s="315" t="s">
        <v>588</v>
      </c>
      <c r="Q190" s="46"/>
      <c r="R190" s="46"/>
      <c r="S190" s="46"/>
      <c r="T190" s="46"/>
      <c r="U190" s="46"/>
      <c r="V190" s="46"/>
      <c r="W190" s="46"/>
      <c r="X190" s="46"/>
      <c r="Y190" s="46"/>
      <c r="Z190" s="46"/>
      <c r="AA190" s="46"/>
    </row>
    <row r="191" spans="1:27">
      <c r="A191" s="46"/>
      <c r="B191" s="46"/>
      <c r="C191" s="341"/>
      <c r="D191" s="319"/>
      <c r="E191" s="319"/>
      <c r="F191" s="319"/>
      <c r="G191" s="46"/>
      <c r="H191" s="308"/>
      <c r="I191" s="46"/>
      <c r="J191" s="46"/>
      <c r="K191" s="316" t="s">
        <v>578</v>
      </c>
      <c r="L191" s="318">
        <v>80</v>
      </c>
      <c r="M191" s="299">
        <v>80</v>
      </c>
      <c r="N191" s="279">
        <f>0.00002*10^(L191/20)</f>
        <v>0.2</v>
      </c>
      <c r="O191" s="338">
        <f>0.00002*10^(M191/20)</f>
        <v>0.2</v>
      </c>
      <c r="P191" s="329">
        <f>O191/N191</f>
        <v>1</v>
      </c>
      <c r="Q191" s="46"/>
      <c r="R191" s="46"/>
      <c r="S191" s="46"/>
      <c r="T191" s="46"/>
      <c r="U191" s="46"/>
      <c r="V191" s="46"/>
      <c r="W191" s="46"/>
      <c r="X191" s="46"/>
      <c r="Y191" s="46"/>
      <c r="Z191" s="46"/>
      <c r="AA191" s="46"/>
    </row>
    <row r="192" spans="1:27">
      <c r="A192" s="46"/>
      <c r="B192" s="46"/>
      <c r="C192" s="331" t="s">
        <v>688</v>
      </c>
      <c r="D192" s="264"/>
      <c r="E192" s="264"/>
      <c r="F192" s="342"/>
      <c r="G192" s="46"/>
      <c r="H192" s="46"/>
      <c r="I192" s="46"/>
      <c r="J192" s="46"/>
      <c r="K192" s="316" t="s">
        <v>579</v>
      </c>
      <c r="L192" s="318">
        <v>95</v>
      </c>
      <c r="M192" s="299">
        <v>95</v>
      </c>
      <c r="N192" s="279">
        <f t="shared" ref="N192:N200" si="33">0.00002*10^(L192/20)</f>
        <v>1.124682650380699</v>
      </c>
      <c r="O192" s="338">
        <f t="shared" ref="O192:O200" si="34">0.00002*10^(M192/20)</f>
        <v>1.124682650380699</v>
      </c>
      <c r="P192" s="329">
        <f t="shared" ref="P192:P200" si="35">O192/N192</f>
        <v>1</v>
      </c>
      <c r="Q192" s="46"/>
      <c r="R192" s="46"/>
      <c r="S192" s="46"/>
      <c r="T192" s="46"/>
      <c r="U192" s="46"/>
      <c r="V192" s="46"/>
      <c r="W192" s="46"/>
      <c r="X192" s="46"/>
      <c r="Y192" s="46"/>
      <c r="Z192" s="46"/>
      <c r="AA192" s="46"/>
    </row>
    <row r="193" spans="1:27">
      <c r="A193" s="46"/>
      <c r="B193" s="46"/>
      <c r="C193" s="331" t="s">
        <v>689</v>
      </c>
      <c r="D193" s="264"/>
      <c r="E193" s="264"/>
      <c r="F193" s="342"/>
      <c r="G193" s="46"/>
      <c r="H193" s="46"/>
      <c r="I193" s="46"/>
      <c r="J193" s="46"/>
      <c r="K193" s="316" t="s">
        <v>758</v>
      </c>
      <c r="L193" s="218">
        <v>75</v>
      </c>
      <c r="M193" s="299">
        <f>E156</f>
        <v>56.347258009175761</v>
      </c>
      <c r="N193" s="279">
        <f t="shared" si="33"/>
        <v>0.11246826503806999</v>
      </c>
      <c r="O193" s="338">
        <f t="shared" si="34"/>
        <v>1.3133875529066941E-2</v>
      </c>
      <c r="P193" s="329">
        <f t="shared" si="35"/>
        <v>0.11677850213676884</v>
      </c>
      <c r="Q193" s="46"/>
      <c r="R193" s="46"/>
      <c r="S193" s="46"/>
      <c r="T193" s="46"/>
      <c r="U193" s="46"/>
      <c r="V193" s="46"/>
      <c r="W193" s="46"/>
      <c r="X193" s="46"/>
      <c r="Y193" s="46"/>
      <c r="Z193" s="46"/>
      <c r="AA193" s="46"/>
    </row>
    <row r="194" spans="1:27">
      <c r="A194" s="46"/>
      <c r="B194" s="46"/>
      <c r="C194" s="331" t="s">
        <v>690</v>
      </c>
      <c r="D194" s="343"/>
      <c r="E194" s="343"/>
      <c r="F194" s="342"/>
      <c r="G194" s="46"/>
      <c r="H194" s="46"/>
      <c r="I194" s="46"/>
      <c r="J194" s="46"/>
      <c r="K194" s="316" t="s">
        <v>759</v>
      </c>
      <c r="L194" s="218">
        <v>75</v>
      </c>
      <c r="M194" s="299">
        <f>E159</f>
        <v>58.108170599732574</v>
      </c>
      <c r="N194" s="279">
        <f t="shared" si="33"/>
        <v>0.11246826503806999</v>
      </c>
      <c r="O194" s="338">
        <f t="shared" si="34"/>
        <v>1.608564669572024E-2</v>
      </c>
      <c r="P194" s="329">
        <f t="shared" si="35"/>
        <v>0.14302387158079946</v>
      </c>
      <c r="Q194" s="46"/>
      <c r="R194" s="46"/>
      <c r="S194" s="46"/>
      <c r="T194" s="46"/>
      <c r="U194" s="46"/>
      <c r="V194" s="46"/>
      <c r="W194" s="46"/>
      <c r="X194" s="46"/>
      <c r="Y194" s="46"/>
      <c r="Z194" s="46"/>
      <c r="AA194" s="46"/>
    </row>
    <row r="195" spans="1:27">
      <c r="A195" s="46"/>
      <c r="B195" s="46"/>
      <c r="C195" s="331"/>
      <c r="D195" s="343"/>
      <c r="E195" s="343"/>
      <c r="F195" s="342"/>
      <c r="G195" s="46"/>
      <c r="H195" s="46"/>
      <c r="I195" s="46"/>
      <c r="J195" s="46"/>
      <c r="K195" s="316" t="s">
        <v>764</v>
      </c>
      <c r="L195" s="218">
        <v>75</v>
      </c>
      <c r="M195" s="299">
        <f>F156</f>
        <v>66.351024906060999</v>
      </c>
      <c r="N195" s="279">
        <f t="shared" si="33"/>
        <v>0.11246826503806999</v>
      </c>
      <c r="O195" s="338">
        <f t="shared" si="34"/>
        <v>4.1550977099170945E-2</v>
      </c>
      <c r="P195" s="329">
        <f t="shared" si="35"/>
        <v>0.36944623521227193</v>
      </c>
      <c r="Q195" s="46"/>
      <c r="R195" s="46"/>
      <c r="S195" s="46"/>
      <c r="T195" s="46"/>
      <c r="U195" s="46"/>
      <c r="V195" s="46"/>
      <c r="W195" s="46"/>
      <c r="X195" s="46"/>
      <c r="Y195" s="46"/>
      <c r="Z195" s="46"/>
      <c r="AA195" s="46"/>
    </row>
    <row r="196" spans="1:27">
      <c r="A196" s="46"/>
      <c r="B196" s="46"/>
      <c r="C196" s="331"/>
      <c r="D196" s="343"/>
      <c r="E196" s="343"/>
      <c r="F196" s="342"/>
      <c r="G196" s="46"/>
      <c r="H196" s="46"/>
      <c r="I196" s="46"/>
      <c r="J196" s="46"/>
      <c r="K196" s="316" t="s">
        <v>754</v>
      </c>
      <c r="L196" s="218">
        <v>75</v>
      </c>
      <c r="M196" s="299">
        <f>F159</f>
        <v>68.111937496617799</v>
      </c>
      <c r="N196" s="279">
        <f t="shared" si="33"/>
        <v>0.11246826503806999</v>
      </c>
      <c r="O196" s="338">
        <f t="shared" si="34"/>
        <v>5.0889346103518959E-2</v>
      </c>
      <c r="P196" s="329">
        <f t="shared" si="35"/>
        <v>0.45247738183116054</v>
      </c>
      <c r="Q196" s="46"/>
      <c r="R196" s="46"/>
      <c r="S196" s="46"/>
      <c r="T196" s="46"/>
      <c r="U196" s="46"/>
      <c r="V196" s="46"/>
      <c r="W196" s="46"/>
      <c r="X196" s="46"/>
      <c r="Y196" s="46"/>
      <c r="Z196" s="46"/>
      <c r="AA196" s="46"/>
    </row>
    <row r="197" spans="1:27">
      <c r="A197" s="46"/>
      <c r="B197" s="46"/>
      <c r="C197" s="344"/>
      <c r="D197" s="343"/>
      <c r="E197" s="343"/>
      <c r="F197" s="342"/>
      <c r="G197" s="46"/>
      <c r="H197" s="46"/>
      <c r="I197" s="46"/>
      <c r="J197" s="46"/>
      <c r="K197" s="316" t="s">
        <v>760</v>
      </c>
      <c r="L197" s="218">
        <v>75</v>
      </c>
      <c r="M197" s="299">
        <f>G156</f>
        <v>68.79416789020928</v>
      </c>
      <c r="N197" s="279">
        <f t="shared" si="33"/>
        <v>0.11246826503806999</v>
      </c>
      <c r="O197" s="338">
        <f t="shared" si="34"/>
        <v>5.5047600139273303E-2</v>
      </c>
      <c r="P197" s="329">
        <f t="shared" si="35"/>
        <v>0.48945006949862652</v>
      </c>
      <c r="Q197" s="46"/>
      <c r="R197" s="46"/>
      <c r="S197" s="46"/>
      <c r="T197" s="46"/>
      <c r="U197" s="46"/>
      <c r="V197" s="46"/>
      <c r="W197" s="46"/>
      <c r="X197" s="46"/>
      <c r="Y197" s="46"/>
      <c r="Z197" s="46"/>
      <c r="AA197" s="46"/>
    </row>
    <row r="198" spans="1:27">
      <c r="A198" s="46"/>
      <c r="B198" s="46"/>
      <c r="C198" s="331"/>
      <c r="D198" s="343"/>
      <c r="E198" s="11"/>
      <c r="F198" s="11"/>
      <c r="G198" s="46"/>
      <c r="H198" s="46"/>
      <c r="I198" s="46"/>
      <c r="J198" s="46"/>
      <c r="K198" s="316" t="s">
        <v>761</v>
      </c>
      <c r="L198" s="218">
        <v>75</v>
      </c>
      <c r="M198" s="299">
        <f>G159</f>
        <v>70.555080480766094</v>
      </c>
      <c r="N198" s="279">
        <f t="shared" si="33"/>
        <v>0.11246826503806999</v>
      </c>
      <c r="O198" s="338">
        <f t="shared" si="34"/>
        <v>6.7419265952989874E-2</v>
      </c>
      <c r="P198" s="329">
        <f t="shared" si="35"/>
        <v>0.59945146242069935</v>
      </c>
      <c r="Q198" s="46"/>
      <c r="R198" s="46"/>
      <c r="S198" s="46"/>
      <c r="T198" s="46"/>
      <c r="U198" s="46"/>
      <c r="V198" s="46"/>
      <c r="W198" s="46"/>
      <c r="X198" s="46"/>
      <c r="Y198" s="46"/>
      <c r="Z198" s="46"/>
      <c r="AA198" s="46"/>
    </row>
    <row r="199" spans="1:27">
      <c r="A199" s="46"/>
      <c r="B199" s="46"/>
      <c r="C199" s="331"/>
      <c r="D199" s="343"/>
      <c r="E199" s="11"/>
      <c r="F199" s="11"/>
      <c r="G199" s="46"/>
      <c r="H199" s="46"/>
      <c r="I199" s="46"/>
      <c r="J199" s="46"/>
      <c r="K199" s="330" t="s">
        <v>762</v>
      </c>
      <c r="L199" s="218">
        <v>75</v>
      </c>
      <c r="M199" s="299">
        <f>H156</f>
        <v>71.281048081777868</v>
      </c>
      <c r="N199" s="279">
        <f t="shared" si="33"/>
        <v>0.11246826503806999</v>
      </c>
      <c r="O199" s="338">
        <f t="shared" si="34"/>
        <v>7.3296358691868929E-2</v>
      </c>
      <c r="P199" s="329">
        <f t="shared" si="35"/>
        <v>0.65170702746288878</v>
      </c>
      <c r="Q199" s="46"/>
      <c r="R199" s="46"/>
      <c r="S199" s="46"/>
      <c r="T199" s="46"/>
      <c r="U199" s="46"/>
      <c r="V199" s="46"/>
      <c r="W199" s="46"/>
      <c r="X199" s="46"/>
      <c r="Y199" s="46"/>
      <c r="Z199" s="46"/>
      <c r="AA199" s="46"/>
    </row>
    <row r="200" spans="1:27">
      <c r="A200" s="46"/>
      <c r="B200" s="46"/>
      <c r="C200" s="331"/>
      <c r="D200" s="343"/>
      <c r="E200" s="11"/>
      <c r="F200" s="11"/>
      <c r="G200" s="46"/>
      <c r="H200" s="46"/>
      <c r="I200" s="46"/>
      <c r="J200" s="46"/>
      <c r="K200" s="330" t="s">
        <v>763</v>
      </c>
      <c r="L200" s="218">
        <v>75</v>
      </c>
      <c r="M200" s="299">
        <f>H159</f>
        <v>73.041960672334682</v>
      </c>
      <c r="N200" s="279">
        <f t="shared" si="33"/>
        <v>0.11246826503806999</v>
      </c>
      <c r="O200" s="338">
        <f t="shared" si="34"/>
        <v>8.9769339399544762E-2</v>
      </c>
      <c r="P200" s="329">
        <f t="shared" si="35"/>
        <v>0.79817483953503021</v>
      </c>
      <c r="Q200" s="46"/>
      <c r="R200" s="46"/>
      <c r="S200" s="46"/>
      <c r="T200" s="46"/>
      <c r="U200" s="46"/>
      <c r="V200" s="46"/>
      <c r="W200" s="46"/>
      <c r="X200" s="46"/>
      <c r="Y200" s="46"/>
      <c r="Z200" s="46"/>
      <c r="AA200" s="46"/>
    </row>
    <row r="201" spans="1:27">
      <c r="A201" s="46"/>
      <c r="B201" s="46"/>
      <c r="C201" s="344"/>
      <c r="D201" s="343"/>
      <c r="E201" s="11"/>
      <c r="F201" s="11"/>
      <c r="G201" s="46"/>
      <c r="H201" s="46"/>
      <c r="I201" s="46"/>
      <c r="J201" s="46"/>
      <c r="K201" s="327"/>
      <c r="L201" s="322"/>
      <c r="M201" s="322"/>
      <c r="N201" s="322"/>
      <c r="O201" s="46"/>
      <c r="P201" s="46"/>
      <c r="Q201" s="46"/>
      <c r="R201" s="46"/>
      <c r="S201" s="46"/>
      <c r="T201" s="46"/>
      <c r="U201" s="46"/>
      <c r="V201" s="46"/>
      <c r="W201" s="46"/>
      <c r="X201" s="46"/>
      <c r="Y201" s="46"/>
      <c r="Z201" s="46"/>
      <c r="AA201" s="46"/>
    </row>
    <row r="202" spans="1:27" ht="15">
      <c r="A202" s="46"/>
      <c r="B202" s="46"/>
      <c r="C202" s="46"/>
      <c r="D202" s="46"/>
      <c r="E202" s="46"/>
      <c r="F202" s="46"/>
      <c r="G202" s="46"/>
      <c r="H202" s="46"/>
      <c r="I202" s="46"/>
      <c r="J202" s="46"/>
      <c r="K202" s="327"/>
      <c r="L202" s="340" t="s">
        <v>615</v>
      </c>
      <c r="M202" s="322"/>
      <c r="N202" s="322"/>
      <c r="O202" s="46"/>
      <c r="P202" s="46"/>
      <c r="Q202" s="46"/>
      <c r="R202" s="46"/>
      <c r="S202" s="46"/>
      <c r="T202" s="46"/>
      <c r="U202" s="46"/>
      <c r="V202" s="46"/>
      <c r="W202" s="46"/>
      <c r="X202" s="46"/>
      <c r="Y202" s="46"/>
      <c r="Z202" s="46"/>
      <c r="AA202" s="46"/>
    </row>
    <row r="203" spans="1:27">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row>
    <row r="204" spans="1:27">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row>
    <row r="205" spans="1:27">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row>
    <row r="206" spans="1:27">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row>
    <row r="207" spans="1:27">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row>
    <row r="208" spans="1:27">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row>
    <row r="209" spans="1:27">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row>
    <row r="210" spans="1:27">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row>
    <row r="211" spans="1:27">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row>
    <row r="212" spans="1:27">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row>
    <row r="213" spans="1:27">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row>
    <row r="214" spans="1:27">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row>
    <row r="215" spans="1:27">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row>
    <row r="216" spans="1:27">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row>
    <row r="217" spans="1:27">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row>
    <row r="218" spans="1:27">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row>
    <row r="219" spans="1:27">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row>
    <row r="220" spans="1:27">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row>
    <row r="221" spans="1:27">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row>
    <row r="222" spans="1:27">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row>
    <row r="223" spans="1:27">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row>
    <row r="224" spans="1:27">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row>
    <row r="225" spans="1:27">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row>
    <row r="226" spans="1:27">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row>
    <row r="227" spans="1:27">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row>
    <row r="228" spans="1:27">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row>
    <row r="229" spans="1:27">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row>
    <row r="230" spans="1:27">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row>
    <row r="231" spans="1:27">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row>
    <row r="232" spans="1:27">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row>
    <row r="233" spans="1:27">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row>
    <row r="234" spans="1:27">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row>
    <row r="235" spans="1:27">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row>
    <row r="236" spans="1:27">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row>
    <row r="237" spans="1:27">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row>
    <row r="238" spans="1:27">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7"/>
  <sheetViews>
    <sheetView zoomScaleNormal="100" workbookViewId="0">
      <selection activeCell="K7" sqref="K7"/>
    </sheetView>
  </sheetViews>
  <sheetFormatPr defaultRowHeight="14.5"/>
  <cols>
    <col min="3" max="3" width="31" customWidth="1"/>
    <col min="4" max="4" width="8.81640625" customWidth="1"/>
    <col min="5" max="5" width="11.26953125" customWidth="1"/>
    <col min="6" max="6" width="10.7265625" customWidth="1"/>
    <col min="7" max="7" width="16.36328125" customWidth="1"/>
    <col min="8" max="8" width="13.453125" customWidth="1"/>
    <col min="9" max="9" width="16" customWidth="1"/>
    <col min="10" max="10" width="16.453125" customWidth="1"/>
    <col min="11" max="11" width="12.36328125" customWidth="1"/>
    <col min="12" max="12" width="11.6328125" customWidth="1"/>
    <col min="13" max="13" width="11" customWidth="1"/>
    <col min="14" max="14" width="11.54296875" customWidth="1"/>
    <col min="15" max="15" width="10.1796875" customWidth="1"/>
    <col min="16" max="16" width="10" customWidth="1"/>
    <col min="19" max="19" width="12.1796875" customWidth="1"/>
  </cols>
  <sheetData>
    <row r="1" spans="1:23">
      <c r="A1" s="46"/>
      <c r="B1" s="46"/>
      <c r="C1" s="46"/>
      <c r="D1" s="46"/>
      <c r="E1" s="46"/>
      <c r="F1" s="46"/>
      <c r="G1" s="46"/>
      <c r="H1" s="46"/>
      <c r="I1" s="46"/>
      <c r="J1" s="46"/>
      <c r="K1" s="46"/>
      <c r="L1" s="46"/>
      <c r="M1" s="46"/>
      <c r="N1" s="46"/>
      <c r="O1" s="46"/>
      <c r="P1" s="46"/>
      <c r="Q1" s="46"/>
      <c r="R1" s="46"/>
      <c r="S1" s="46"/>
      <c r="T1" s="46"/>
      <c r="U1" s="46"/>
      <c r="V1" s="46"/>
      <c r="W1" s="46"/>
    </row>
    <row r="2" spans="1:23">
      <c r="A2" s="46"/>
      <c r="B2" s="7"/>
      <c r="C2" s="8"/>
      <c r="D2" s="8"/>
      <c r="E2" s="8"/>
      <c r="F2" s="8"/>
      <c r="G2" s="8"/>
      <c r="H2" s="8"/>
      <c r="I2" s="8"/>
      <c r="J2" s="8"/>
      <c r="K2" s="8"/>
      <c r="L2" s="8"/>
      <c r="M2" s="8"/>
      <c r="N2" s="8"/>
      <c r="O2" s="8"/>
      <c r="P2" s="8"/>
      <c r="Q2" s="8"/>
      <c r="R2" s="8"/>
      <c r="S2" s="8"/>
      <c r="T2" s="8"/>
      <c r="U2" s="9"/>
      <c r="V2" s="46"/>
      <c r="W2" s="46"/>
    </row>
    <row r="3" spans="1:23">
      <c r="A3" s="46"/>
      <c r="B3" s="10"/>
      <c r="C3" s="11"/>
      <c r="D3" s="11"/>
      <c r="E3" s="11"/>
      <c r="F3" s="11"/>
      <c r="G3" s="11"/>
      <c r="H3" s="11" t="s">
        <v>2</v>
      </c>
      <c r="I3" s="11"/>
      <c r="J3" s="11"/>
      <c r="K3" s="11"/>
      <c r="L3" s="11"/>
      <c r="M3" s="11"/>
      <c r="N3" s="11"/>
      <c r="O3" s="11"/>
      <c r="P3" s="11"/>
      <c r="Q3" s="11"/>
      <c r="R3" s="11"/>
      <c r="S3" s="11"/>
      <c r="T3" s="11"/>
      <c r="U3" s="12"/>
      <c r="V3" s="46"/>
      <c r="W3" s="46"/>
    </row>
    <row r="4" spans="1:23">
      <c r="A4" s="46"/>
      <c r="B4" s="10"/>
      <c r="C4" s="11"/>
      <c r="D4" s="11"/>
      <c r="E4" s="11"/>
      <c r="F4" s="11"/>
      <c r="G4" s="11"/>
      <c r="H4" s="11" t="s">
        <v>4</v>
      </c>
      <c r="I4" s="11"/>
      <c r="J4" s="11"/>
      <c r="K4" s="11"/>
      <c r="L4" s="11"/>
      <c r="M4" s="11"/>
      <c r="N4" s="11"/>
      <c r="O4" s="11"/>
      <c r="P4" s="11"/>
      <c r="Q4" s="11"/>
      <c r="R4" s="11"/>
      <c r="S4" s="11"/>
      <c r="T4" s="11"/>
      <c r="U4" s="12"/>
      <c r="V4" s="46"/>
      <c r="W4" s="46"/>
    </row>
    <row r="5" spans="1:23">
      <c r="A5" s="46"/>
      <c r="B5" s="10"/>
      <c r="C5" s="11"/>
      <c r="D5" s="11"/>
      <c r="E5" s="11"/>
      <c r="F5" s="11"/>
      <c r="G5" s="11"/>
      <c r="H5" s="11"/>
      <c r="I5" s="11"/>
      <c r="J5" s="11"/>
      <c r="K5" s="11"/>
      <c r="L5" s="11"/>
      <c r="M5" s="11"/>
      <c r="N5" s="11"/>
      <c r="O5" s="11"/>
      <c r="P5" s="11"/>
      <c r="Q5" s="11"/>
      <c r="R5" s="11"/>
      <c r="S5" s="11"/>
      <c r="T5" s="11"/>
      <c r="U5" s="12"/>
      <c r="V5" s="46"/>
      <c r="W5" s="46"/>
    </row>
    <row r="6" spans="1:23">
      <c r="A6" s="46"/>
      <c r="B6" s="10"/>
      <c r="C6" s="11"/>
      <c r="D6" s="11"/>
      <c r="E6" s="11"/>
      <c r="F6" s="11"/>
      <c r="G6" s="11"/>
      <c r="H6" s="11"/>
      <c r="I6" s="11"/>
      <c r="J6" s="11"/>
      <c r="K6" s="11"/>
      <c r="L6" s="11"/>
      <c r="M6" s="11"/>
      <c r="N6" s="11"/>
      <c r="O6" s="11"/>
      <c r="P6" s="11"/>
      <c r="Q6" s="11"/>
      <c r="R6" s="11"/>
      <c r="S6" s="11"/>
      <c r="T6" s="11"/>
      <c r="U6" s="12"/>
      <c r="V6" s="46"/>
      <c r="W6" s="46"/>
    </row>
    <row r="7" spans="1:23">
      <c r="A7" s="46"/>
      <c r="B7" s="10"/>
      <c r="C7" s="13" t="s">
        <v>0</v>
      </c>
      <c r="D7" s="11"/>
      <c r="E7" s="11"/>
      <c r="F7" s="11"/>
      <c r="G7" s="46"/>
      <c r="H7" s="46"/>
      <c r="I7" s="733" t="s">
        <v>559</v>
      </c>
      <c r="K7" s="153" t="s">
        <v>897</v>
      </c>
      <c r="L7" s="11"/>
      <c r="M7" s="11"/>
      <c r="N7" s="11"/>
      <c r="O7" s="11"/>
      <c r="P7" s="11"/>
      <c r="Q7" s="14" t="s">
        <v>5</v>
      </c>
      <c r="R7" s="15">
        <f>'Program Overview'!K6</f>
        <v>7</v>
      </c>
      <c r="S7" s="16">
        <f>'Program Overview'!M6</f>
        <v>43752</v>
      </c>
      <c r="T7" s="11"/>
      <c r="U7" s="12"/>
      <c r="V7" s="46"/>
      <c r="W7" s="46"/>
    </row>
    <row r="8" spans="1:23">
      <c r="A8" s="46"/>
      <c r="B8" s="10"/>
      <c r="C8" s="13" t="s">
        <v>1</v>
      </c>
      <c r="D8" s="11"/>
      <c r="E8" s="11"/>
      <c r="F8" s="11"/>
      <c r="G8" s="11"/>
      <c r="H8" s="11"/>
      <c r="I8" s="11"/>
      <c r="J8" s="11"/>
      <c r="K8" s="11"/>
      <c r="L8" s="11"/>
      <c r="M8" s="11"/>
      <c r="N8" s="11"/>
      <c r="O8" s="11"/>
      <c r="P8" s="11"/>
      <c r="Q8" s="11"/>
      <c r="R8" s="11"/>
      <c r="S8" s="11"/>
      <c r="T8" s="11"/>
      <c r="U8" s="12"/>
      <c r="V8" s="46"/>
      <c r="W8" s="46"/>
    </row>
    <row r="9" spans="1:23" ht="15.5" customHeight="1">
      <c r="A9" s="46"/>
      <c r="B9" s="17"/>
      <c r="C9" s="18"/>
      <c r="D9" s="18"/>
      <c r="E9" s="18"/>
      <c r="F9" s="18"/>
      <c r="G9" s="18"/>
      <c r="H9" s="18"/>
      <c r="I9" s="18"/>
      <c r="J9" s="18"/>
      <c r="K9" s="18"/>
      <c r="L9" s="18"/>
      <c r="M9" s="18"/>
      <c r="N9" s="18"/>
      <c r="O9" s="18"/>
      <c r="P9" s="18"/>
      <c r="Q9" s="18"/>
      <c r="R9" s="18"/>
      <c r="S9" s="18"/>
      <c r="T9" s="18"/>
      <c r="U9" s="19"/>
      <c r="V9" s="46"/>
      <c r="W9" s="46"/>
    </row>
    <row r="10" spans="1:23">
      <c r="A10" s="46"/>
      <c r="B10" s="207" t="s">
        <v>418</v>
      </c>
      <c r="C10" s="59"/>
      <c r="D10" s="59"/>
      <c r="E10" s="59"/>
      <c r="F10" s="59"/>
      <c r="G10" s="59"/>
      <c r="H10" s="59"/>
      <c r="I10" s="59"/>
      <c r="J10" s="59"/>
      <c r="K10" s="59"/>
      <c r="L10" s="59"/>
      <c r="M10" s="59"/>
      <c r="N10" s="59"/>
      <c r="O10" s="59"/>
      <c r="P10" s="59"/>
      <c r="Q10" s="59"/>
      <c r="R10" s="59"/>
      <c r="S10" s="59"/>
      <c r="T10" s="59"/>
      <c r="U10" s="227"/>
      <c r="V10" s="46"/>
      <c r="W10" s="46"/>
    </row>
    <row r="11" spans="1:23" ht="3.5" customHeight="1">
      <c r="A11" s="46"/>
      <c r="B11" s="209"/>
      <c r="C11" s="60"/>
      <c r="D11" s="60"/>
      <c r="E11" s="60"/>
      <c r="F11" s="60"/>
      <c r="G11" s="60"/>
      <c r="H11" s="60"/>
      <c r="I11" s="60"/>
      <c r="J11" s="60"/>
      <c r="K11" s="60"/>
      <c r="L11" s="60"/>
      <c r="M11" s="60"/>
      <c r="N11" s="60"/>
      <c r="O11" s="60"/>
      <c r="P11" s="60"/>
      <c r="Q11" s="60"/>
      <c r="R11" s="60"/>
      <c r="S11" s="60"/>
      <c r="T11" s="60"/>
      <c r="U11" s="228"/>
      <c r="V11" s="46"/>
      <c r="W11" s="46"/>
    </row>
    <row r="12" spans="1:23">
      <c r="A12" s="46"/>
      <c r="B12" s="168" t="s">
        <v>785</v>
      </c>
      <c r="C12" s="46"/>
      <c r="D12" s="46"/>
      <c r="E12" s="46"/>
      <c r="F12" s="46"/>
      <c r="G12" s="46"/>
      <c r="H12" s="46"/>
      <c r="I12" s="46"/>
      <c r="J12" s="46"/>
      <c r="K12" s="46"/>
      <c r="L12" s="46"/>
      <c r="M12" s="46"/>
      <c r="N12" s="46"/>
      <c r="O12" s="46"/>
      <c r="P12" s="46"/>
      <c r="Q12" s="46"/>
      <c r="R12" s="46"/>
      <c r="S12" s="46"/>
      <c r="T12" s="46"/>
      <c r="U12" s="46"/>
      <c r="V12" s="46"/>
      <c r="W12" s="46"/>
    </row>
    <row r="13" spans="1:23">
      <c r="A13" s="46"/>
      <c r="B13" s="46" t="s">
        <v>419</v>
      </c>
      <c r="C13" s="46"/>
      <c r="D13" s="168" t="s">
        <v>445</v>
      </c>
      <c r="E13" s="46"/>
      <c r="F13" s="46"/>
      <c r="G13" s="46"/>
      <c r="H13" s="46"/>
      <c r="I13" s="46"/>
      <c r="J13" s="46"/>
      <c r="K13" s="46"/>
      <c r="L13" s="46"/>
      <c r="M13" s="46"/>
      <c r="N13" s="46"/>
      <c r="O13" s="46"/>
      <c r="P13" s="46"/>
      <c r="Q13" s="46"/>
      <c r="R13" s="46"/>
      <c r="S13" s="46"/>
      <c r="T13" s="46"/>
      <c r="U13" s="46"/>
      <c r="V13" s="46"/>
      <c r="W13" s="46"/>
    </row>
    <row r="14" spans="1:23">
      <c r="A14" s="46"/>
      <c r="B14" s="46" t="s">
        <v>420</v>
      </c>
      <c r="C14" s="46"/>
      <c r="D14" s="46"/>
      <c r="E14" s="46"/>
      <c r="F14" s="46"/>
      <c r="G14" s="46"/>
      <c r="H14" s="46"/>
      <c r="I14" s="46"/>
      <c r="J14" s="46"/>
      <c r="K14" s="46"/>
      <c r="L14" s="46"/>
      <c r="M14" s="46"/>
      <c r="N14" s="46"/>
      <c r="O14" s="46"/>
      <c r="P14" s="46"/>
      <c r="Q14" s="46"/>
      <c r="R14" s="46"/>
      <c r="S14" s="46"/>
      <c r="T14" s="46"/>
      <c r="U14" s="46"/>
      <c r="V14" s="46"/>
      <c r="W14" s="46"/>
    </row>
    <row r="15" spans="1:23" s="40" customFormat="1" ht="11.5" customHeight="1">
      <c r="A15" s="46"/>
      <c r="B15" s="46"/>
      <c r="C15" s="46"/>
      <c r="D15" s="46"/>
      <c r="E15" s="46"/>
      <c r="F15" s="46"/>
      <c r="G15" s="46"/>
      <c r="H15" s="46"/>
      <c r="I15" s="46"/>
      <c r="J15" s="46"/>
      <c r="K15" s="46"/>
      <c r="L15" s="46"/>
      <c r="M15" s="46"/>
      <c r="N15" s="46"/>
      <c r="O15" s="46"/>
      <c r="P15" s="46"/>
      <c r="Q15" s="46"/>
      <c r="R15" s="46"/>
      <c r="S15" s="46"/>
      <c r="T15" s="46"/>
      <c r="U15" s="46"/>
      <c r="V15" s="46"/>
      <c r="W15" s="46"/>
    </row>
    <row r="16" spans="1:23" ht="16" customHeight="1">
      <c r="A16" s="46"/>
      <c r="B16" s="46"/>
      <c r="C16" s="379"/>
      <c r="D16" s="454"/>
      <c r="E16" s="452"/>
      <c r="F16" s="452"/>
      <c r="G16" s="455" t="s">
        <v>635</v>
      </c>
      <c r="H16" s="452"/>
      <c r="I16" s="452"/>
      <c r="J16" s="452"/>
      <c r="K16" s="452"/>
      <c r="L16" s="452"/>
      <c r="M16" s="453"/>
      <c r="N16" s="46"/>
      <c r="O16" s="46"/>
      <c r="P16" s="46"/>
      <c r="Q16" s="46"/>
      <c r="R16" s="46"/>
      <c r="S16" s="46"/>
      <c r="T16" s="46"/>
      <c r="U16" s="46"/>
      <c r="V16" s="46"/>
      <c r="W16" s="46"/>
    </row>
    <row r="17" spans="1:23" ht="25" customHeight="1">
      <c r="A17" s="46"/>
      <c r="B17" s="46"/>
      <c r="C17" s="380" t="s">
        <v>35</v>
      </c>
      <c r="D17" s="386" t="s">
        <v>350</v>
      </c>
      <c r="E17" s="351" t="s">
        <v>713</v>
      </c>
      <c r="F17" s="165" t="s">
        <v>351</v>
      </c>
      <c r="G17" s="405" t="s">
        <v>352</v>
      </c>
      <c r="H17" s="165" t="s">
        <v>783</v>
      </c>
      <c r="I17" s="165" t="s">
        <v>347</v>
      </c>
      <c r="J17" s="165" t="s">
        <v>348</v>
      </c>
      <c r="K17" s="165" t="s">
        <v>354</v>
      </c>
      <c r="L17" s="165" t="s">
        <v>355</v>
      </c>
      <c r="M17" s="165" t="s">
        <v>356</v>
      </c>
      <c r="N17" s="46"/>
      <c r="O17" s="46"/>
      <c r="P17" s="46"/>
      <c r="Q17" s="46"/>
      <c r="R17" s="46"/>
      <c r="S17" s="46"/>
      <c r="T17" s="46"/>
      <c r="U17" s="46"/>
      <c r="V17" s="46"/>
      <c r="W17" s="46"/>
    </row>
    <row r="18" spans="1:23">
      <c r="A18" s="46"/>
      <c r="B18" s="46"/>
      <c r="C18" s="456" t="str">
        <f>'Passby Data Set 1'!E10</f>
        <v>Korean HEMU-430X</v>
      </c>
      <c r="D18" s="102">
        <f>'Passby Data Set 1 Output'!E142</f>
        <v>97.609360900793973</v>
      </c>
      <c r="E18" s="102">
        <f>'Passby Data Set 1 Output'!F142</f>
        <v>100.34299033996771</v>
      </c>
      <c r="F18" s="102">
        <f>'Passby Data Set 1 Output'!G142</f>
        <v>98.383226471262276</v>
      </c>
      <c r="G18" s="102">
        <f>'Passby Data Set 1 Output'!H142</f>
        <v>99.43246781181459</v>
      </c>
      <c r="H18" s="102">
        <f>'Passby Data Set 1 Output'!I142</f>
        <v>94.976911788143241</v>
      </c>
      <c r="I18" s="102">
        <f>'Passby Data Set 1 Output'!J142</f>
        <v>98.541656524997521</v>
      </c>
      <c r="J18" s="102">
        <f>'Passby Data Set 1 Output'!K142</f>
        <v>105.72552458237205</v>
      </c>
      <c r="K18" s="102">
        <f>'Passby Data Set 1 Output'!L142</f>
        <v>72.396936393913762</v>
      </c>
      <c r="L18" s="102">
        <f>'Passby Data Set 1 Output'!M142</f>
        <v>90.502830499807871</v>
      </c>
      <c r="M18" s="102">
        <f>'Passby Data Set 1 Output'!N142</f>
        <v>98.689843486820848</v>
      </c>
      <c r="N18" s="46"/>
      <c r="O18" s="46"/>
      <c r="P18" s="46"/>
      <c r="Q18" s="46"/>
      <c r="R18" s="46"/>
      <c r="S18" s="46"/>
      <c r="T18" s="46"/>
      <c r="U18" s="46"/>
      <c r="V18" s="46"/>
      <c r="W18" s="46"/>
    </row>
    <row r="19" spans="1:23">
      <c r="A19" s="46"/>
      <c r="B19" s="46"/>
      <c r="C19" s="232" t="str">
        <f>'Passby Data Set 2'!E10</f>
        <v>Thalys PBKA</v>
      </c>
      <c r="D19" s="102">
        <f>'Passby Data Set 2 Output'!E149</f>
        <v>96.352266575647619</v>
      </c>
      <c r="E19" s="102">
        <f>'Passby Data Set 2 Output'!F149</f>
        <v>99.020087090532144</v>
      </c>
      <c r="F19" s="102">
        <f>'Passby Data Set 2 Output'!G149</f>
        <v>96.683315247002255</v>
      </c>
      <c r="G19" s="102">
        <f>'Passby Data Set 2 Output'!H149</f>
        <v>98.119541942587219</v>
      </c>
      <c r="H19" s="102">
        <f>'Passby Data Set 2 Output'!I149</f>
        <v>94.206429325064946</v>
      </c>
      <c r="I19" s="102">
        <f>'Passby Data Set 2 Output'!J149</f>
        <v>96.959315196281977</v>
      </c>
      <c r="J19" s="102">
        <f>'Passby Data Set 2 Output'!K149</f>
        <v>107.23739818171506</v>
      </c>
      <c r="K19" s="102">
        <f>'Passby Data Set 2 Output'!L149</f>
        <v>73.380087090532143</v>
      </c>
      <c r="L19" s="102">
        <f>'Passby Data Set 2 Output'!M149</f>
        <v>94.320087090532141</v>
      </c>
      <c r="M19" s="102">
        <f>'Passby Data Set 2 Output'!N149</f>
        <v>97.480087090532152</v>
      </c>
      <c r="N19" s="46"/>
      <c r="O19" s="46"/>
      <c r="P19" s="46"/>
      <c r="Q19" s="46"/>
      <c r="R19" s="46"/>
      <c r="S19" s="46"/>
      <c r="T19" s="46"/>
      <c r="U19" s="46"/>
      <c r="V19" s="46"/>
      <c r="W19" s="46"/>
    </row>
    <row r="20" spans="1:23">
      <c r="A20" s="46"/>
      <c r="B20" s="46"/>
      <c r="C20" s="232" t="str">
        <f>'Passby Data Set 4'!E10</f>
        <v>CRH3 Series (based on Siemens)</v>
      </c>
      <c r="D20" s="102">
        <f>'Passby Data Set 4 Output'!E145</f>
        <v>91.706530668469298</v>
      </c>
      <c r="E20" s="102">
        <f>'Passby Data Set 4 Output'!F145</f>
        <v>93.276935410528793</v>
      </c>
      <c r="F20" s="102">
        <f>'Passby Data Set 4 Output'!G145</f>
        <v>92.22832518123613</v>
      </c>
      <c r="G20" s="102">
        <f>'Passby Data Set 4 Output'!H145</f>
        <v>92.958503093704778</v>
      </c>
      <c r="H20" s="102">
        <f>'Passby Data Set 4 Output'!I145</f>
        <v>91.324204407983302</v>
      </c>
      <c r="I20" s="102">
        <f>'Passby Data Set 4 Output'!J145</f>
        <v>92.514398396099736</v>
      </c>
      <c r="J20" s="102">
        <f>'Passby Data Set 4 Output'!K145</f>
        <v>102.97076263731755</v>
      </c>
      <c r="K20" s="102">
        <f>'Passby Data Set 4 Output'!L145</f>
        <v>81.776935410528793</v>
      </c>
      <c r="L20" s="102">
        <f>'Passby Data Set 4 Output'!M145</f>
        <v>91.976935410528796</v>
      </c>
      <c r="M20" s="102">
        <f>'Passby Data Set 4 Output'!N145</f>
        <v>92.676935410528785</v>
      </c>
      <c r="N20" s="46"/>
      <c r="O20" s="46"/>
      <c r="P20" s="46"/>
      <c r="Q20" s="46"/>
      <c r="R20" s="46"/>
      <c r="S20" s="46"/>
      <c r="T20" s="46"/>
      <c r="U20" s="46"/>
      <c r="V20" s="46"/>
      <c r="W20" s="46"/>
    </row>
    <row r="21" spans="1:23">
      <c r="A21" s="46"/>
      <c r="B21" s="46"/>
      <c r="C21" s="46"/>
      <c r="D21" s="233"/>
      <c r="E21" s="233"/>
      <c r="F21" s="233"/>
      <c r="G21" s="233"/>
      <c r="H21" s="233"/>
      <c r="I21" s="233"/>
      <c r="J21" s="233"/>
      <c r="K21" s="233"/>
      <c r="L21" s="233"/>
      <c r="M21" s="233"/>
      <c r="N21" s="46"/>
      <c r="O21" s="46"/>
      <c r="P21" s="46"/>
      <c r="Q21" s="46"/>
      <c r="R21" s="46"/>
      <c r="S21" s="46"/>
      <c r="T21" s="46"/>
      <c r="U21" s="46"/>
      <c r="V21" s="46"/>
      <c r="W21" s="46"/>
    </row>
    <row r="22" spans="1:23">
      <c r="A22" s="46"/>
      <c r="B22" s="46"/>
      <c r="C22" s="46"/>
      <c r="D22" s="233"/>
      <c r="E22" s="233"/>
      <c r="F22" s="233"/>
      <c r="G22" s="169"/>
      <c r="H22" s="233"/>
      <c r="I22" s="233"/>
      <c r="J22" s="233" t="s">
        <v>86</v>
      </c>
      <c r="K22" s="233"/>
      <c r="L22" s="233"/>
      <c r="M22" s="233"/>
      <c r="N22" s="46"/>
      <c r="O22" s="46"/>
      <c r="P22" s="46"/>
      <c r="Q22" s="46"/>
      <c r="R22" s="46"/>
      <c r="S22" s="46"/>
      <c r="T22" s="46"/>
      <c r="U22" s="46"/>
      <c r="V22" s="46"/>
      <c r="W22" s="46"/>
    </row>
    <row r="23" spans="1:23">
      <c r="A23" s="46"/>
      <c r="B23" s="46"/>
      <c r="C23" s="46"/>
      <c r="D23" s="233"/>
      <c r="E23" s="233"/>
      <c r="F23" s="233"/>
      <c r="G23" s="233"/>
      <c r="H23" s="233"/>
      <c r="I23" s="233"/>
      <c r="J23" s="233"/>
      <c r="K23" s="233"/>
      <c r="L23" s="233"/>
      <c r="M23" s="233"/>
      <c r="N23" s="46"/>
      <c r="O23" s="46"/>
      <c r="P23" s="46"/>
      <c r="Q23" s="46"/>
      <c r="R23" s="46"/>
      <c r="S23" s="46"/>
      <c r="T23" s="46"/>
      <c r="U23" s="46"/>
      <c r="V23" s="46"/>
      <c r="W23" s="46"/>
    </row>
    <row r="24" spans="1:23">
      <c r="A24" s="46"/>
      <c r="B24" s="46"/>
      <c r="C24" s="46"/>
      <c r="D24" s="233"/>
      <c r="E24" s="233"/>
      <c r="F24" s="233"/>
      <c r="G24" s="233"/>
      <c r="H24" s="233"/>
      <c r="I24" s="233"/>
      <c r="J24" s="233"/>
      <c r="K24" s="233"/>
      <c r="L24" s="233"/>
      <c r="M24" s="233"/>
      <c r="N24" s="46"/>
      <c r="O24" s="46"/>
      <c r="P24" s="46"/>
      <c r="Q24" s="46"/>
      <c r="R24" s="46"/>
      <c r="S24" s="46"/>
      <c r="T24" s="46"/>
      <c r="U24" s="46"/>
      <c r="V24" s="46"/>
      <c r="W24" s="46"/>
    </row>
    <row r="25" spans="1:23">
      <c r="A25" s="46"/>
      <c r="B25" s="46"/>
      <c r="C25" s="46"/>
      <c r="D25" s="233"/>
      <c r="E25" s="233"/>
      <c r="F25" s="233"/>
      <c r="G25" s="233"/>
      <c r="H25" s="233"/>
      <c r="I25" s="233"/>
      <c r="J25" s="233"/>
      <c r="K25" s="233"/>
      <c r="L25" s="233"/>
      <c r="M25" s="233"/>
      <c r="N25" s="46"/>
      <c r="O25" s="46"/>
      <c r="P25" s="46"/>
      <c r="Q25" s="46"/>
      <c r="R25" s="46"/>
      <c r="S25" s="46"/>
      <c r="T25" s="46"/>
      <c r="U25" s="46"/>
      <c r="V25" s="46"/>
      <c r="W25" s="46"/>
    </row>
    <row r="26" spans="1:23">
      <c r="A26" s="46"/>
      <c r="B26" s="46"/>
      <c r="C26" s="46"/>
      <c r="D26" s="233"/>
      <c r="E26" s="233"/>
      <c r="F26" s="233"/>
      <c r="G26" s="233"/>
      <c r="H26" s="233"/>
      <c r="I26" s="233"/>
      <c r="J26" s="233"/>
      <c r="K26" s="233"/>
      <c r="L26" s="233"/>
      <c r="M26" s="233"/>
      <c r="N26" s="46"/>
      <c r="O26" s="46"/>
      <c r="P26" s="46"/>
      <c r="Q26" s="46"/>
      <c r="R26" s="46"/>
      <c r="S26" s="46"/>
      <c r="T26" s="46"/>
      <c r="U26" s="46"/>
      <c r="V26" s="46"/>
      <c r="W26" s="46"/>
    </row>
    <row r="27" spans="1:23">
      <c r="A27" s="46"/>
      <c r="B27" s="46"/>
      <c r="C27" s="46"/>
      <c r="D27" s="233"/>
      <c r="E27" s="233"/>
      <c r="F27" s="233"/>
      <c r="G27" s="233"/>
      <c r="H27" s="233"/>
      <c r="I27" s="233"/>
      <c r="J27" s="233"/>
      <c r="K27" s="233"/>
      <c r="L27" s="233"/>
      <c r="M27" s="233"/>
      <c r="N27" s="46"/>
      <c r="O27" s="46"/>
      <c r="P27" s="46"/>
      <c r="Q27" s="46"/>
      <c r="R27" s="46"/>
      <c r="S27" s="46"/>
      <c r="T27" s="46"/>
      <c r="U27" s="46"/>
      <c r="V27" s="46"/>
      <c r="W27" s="46"/>
    </row>
    <row r="28" spans="1:23">
      <c r="A28" s="46"/>
      <c r="B28" s="46"/>
      <c r="C28" s="46"/>
      <c r="D28" s="46"/>
      <c r="E28" s="46"/>
      <c r="F28" s="46"/>
      <c r="G28" s="46"/>
      <c r="H28" s="46"/>
      <c r="I28" s="46"/>
      <c r="J28" s="46"/>
      <c r="K28" s="46"/>
      <c r="L28" s="46"/>
      <c r="M28" s="46"/>
      <c r="N28" s="46"/>
      <c r="O28" s="46"/>
      <c r="P28" s="46"/>
      <c r="Q28" s="46"/>
      <c r="R28" s="46"/>
      <c r="S28" s="46"/>
      <c r="T28" s="46"/>
      <c r="U28" s="46"/>
      <c r="V28" s="46"/>
      <c r="W28" s="46"/>
    </row>
    <row r="29" spans="1:23">
      <c r="A29" s="46"/>
      <c r="B29" s="46"/>
      <c r="C29" s="46"/>
      <c r="D29" s="46"/>
      <c r="E29" s="46"/>
      <c r="F29" s="46"/>
      <c r="G29" s="46"/>
      <c r="H29" s="46"/>
      <c r="I29" s="46"/>
      <c r="J29" s="46"/>
      <c r="K29" s="46"/>
      <c r="L29" s="46"/>
      <c r="M29" s="46"/>
      <c r="N29" s="46"/>
      <c r="O29" s="46"/>
      <c r="P29" s="46"/>
      <c r="Q29" s="46"/>
      <c r="R29" s="46"/>
      <c r="S29" s="46"/>
      <c r="T29" s="46"/>
      <c r="U29" s="46"/>
      <c r="V29" s="46"/>
      <c r="W29" s="46"/>
    </row>
    <row r="30" spans="1:23">
      <c r="A30" s="46"/>
      <c r="B30" s="46"/>
      <c r="C30" s="46"/>
      <c r="D30" s="46"/>
      <c r="E30" s="46"/>
      <c r="F30" s="46"/>
      <c r="G30" s="46"/>
      <c r="H30" s="46"/>
      <c r="I30" s="46"/>
      <c r="J30" s="46"/>
      <c r="K30" s="46"/>
      <c r="L30" s="46"/>
      <c r="M30" s="46"/>
      <c r="N30" s="46"/>
      <c r="O30" s="46"/>
      <c r="P30" s="46"/>
      <c r="Q30" s="46"/>
      <c r="R30" s="46"/>
      <c r="S30" s="46"/>
      <c r="T30" s="46"/>
      <c r="U30" s="46"/>
      <c r="V30" s="46"/>
      <c r="W30" s="46"/>
    </row>
    <row r="31" spans="1:23">
      <c r="A31" s="46"/>
      <c r="B31" s="46"/>
      <c r="C31" s="46"/>
      <c r="D31" s="46"/>
      <c r="E31" s="46"/>
      <c r="F31" s="46"/>
      <c r="G31" s="46"/>
      <c r="H31" s="46"/>
      <c r="I31" s="46"/>
      <c r="J31" s="46"/>
      <c r="K31" s="46"/>
      <c r="L31" s="46"/>
      <c r="M31" s="46"/>
      <c r="N31" s="46"/>
      <c r="O31" s="46"/>
      <c r="P31" s="46"/>
      <c r="Q31" s="46"/>
      <c r="R31" s="46"/>
      <c r="S31" s="46"/>
      <c r="T31" s="46"/>
      <c r="U31" s="46"/>
      <c r="V31" s="46"/>
      <c r="W31" s="46"/>
    </row>
    <row r="32" spans="1:23">
      <c r="A32" s="46"/>
      <c r="B32" s="46"/>
      <c r="C32" s="46"/>
      <c r="D32" s="46"/>
      <c r="E32" s="46"/>
      <c r="F32" s="46"/>
      <c r="G32" s="46"/>
      <c r="H32" s="46"/>
      <c r="I32" s="46"/>
      <c r="J32" s="46"/>
      <c r="K32" s="46"/>
      <c r="L32" s="46"/>
      <c r="M32" s="46"/>
      <c r="N32" s="46"/>
      <c r="O32" s="46"/>
      <c r="P32" s="46"/>
      <c r="Q32" s="46"/>
      <c r="R32" s="46"/>
      <c r="S32" s="46"/>
      <c r="T32" s="46"/>
      <c r="U32" s="46"/>
      <c r="V32" s="46"/>
      <c r="W32" s="46"/>
    </row>
    <row r="33" spans="1:23">
      <c r="A33" s="46"/>
      <c r="B33" s="46"/>
      <c r="C33" s="46"/>
      <c r="D33" s="46"/>
      <c r="E33" s="46"/>
      <c r="F33" s="46"/>
      <c r="G33" s="46"/>
      <c r="H33" s="46"/>
      <c r="I33" s="46"/>
      <c r="J33" s="46"/>
      <c r="K33" s="46"/>
      <c r="L33" s="46"/>
      <c r="M33" s="46"/>
      <c r="N33" s="46"/>
      <c r="O33" s="46"/>
      <c r="P33" s="46"/>
      <c r="Q33" s="46"/>
      <c r="R33" s="46"/>
      <c r="S33" s="46"/>
      <c r="T33" s="46"/>
      <c r="U33" s="46"/>
      <c r="V33" s="46"/>
      <c r="W33" s="46"/>
    </row>
    <row r="34" spans="1:23">
      <c r="A34" s="46"/>
      <c r="B34" s="46"/>
      <c r="C34" s="46"/>
      <c r="D34" s="46"/>
      <c r="E34" s="46"/>
      <c r="F34" s="46"/>
      <c r="G34" s="46"/>
      <c r="H34" s="46"/>
      <c r="I34" s="46"/>
      <c r="J34" s="46"/>
      <c r="K34" s="46"/>
      <c r="L34" s="46"/>
      <c r="M34" s="46"/>
      <c r="N34" s="46"/>
      <c r="O34" s="46"/>
      <c r="P34" s="46"/>
      <c r="Q34" s="46"/>
      <c r="R34" s="46"/>
      <c r="S34" s="46"/>
      <c r="T34" s="46"/>
      <c r="U34" s="46"/>
      <c r="V34" s="46"/>
      <c r="W34" s="46"/>
    </row>
    <row r="35" spans="1:23">
      <c r="A35" s="46"/>
      <c r="B35" s="46"/>
      <c r="C35" s="46"/>
      <c r="D35" s="46"/>
      <c r="E35" s="46"/>
      <c r="F35" s="46"/>
      <c r="G35" s="46"/>
      <c r="H35" s="46"/>
      <c r="I35" s="46"/>
      <c r="J35" s="46"/>
      <c r="K35" s="46"/>
      <c r="L35" s="46"/>
      <c r="M35" s="46"/>
      <c r="N35" s="46"/>
      <c r="O35" s="46"/>
      <c r="P35" s="46"/>
      <c r="Q35" s="46"/>
      <c r="R35" s="46"/>
      <c r="S35" s="46"/>
      <c r="T35" s="46"/>
      <c r="U35" s="46"/>
      <c r="V35" s="46"/>
      <c r="W35" s="46"/>
    </row>
    <row r="36" spans="1:23">
      <c r="A36" s="46"/>
      <c r="B36" s="46"/>
      <c r="C36" s="46"/>
      <c r="D36" s="46"/>
      <c r="E36" s="46"/>
      <c r="F36" s="46"/>
      <c r="G36" s="46"/>
      <c r="H36" s="46"/>
      <c r="I36" s="46"/>
      <c r="J36" s="46"/>
      <c r="K36" s="46"/>
      <c r="L36" s="46"/>
      <c r="M36" s="46"/>
      <c r="N36" s="46"/>
      <c r="O36" s="46"/>
      <c r="P36" s="46"/>
      <c r="Q36" s="46"/>
      <c r="R36" s="46"/>
      <c r="S36" s="46"/>
      <c r="T36" s="46"/>
      <c r="U36" s="46"/>
      <c r="V36" s="46"/>
      <c r="W36" s="46"/>
    </row>
    <row r="37" spans="1:23">
      <c r="A37" s="46"/>
      <c r="B37" s="46"/>
      <c r="C37" s="46"/>
      <c r="D37" s="46"/>
      <c r="E37" s="46"/>
      <c r="F37" s="46"/>
      <c r="G37" s="46"/>
      <c r="H37" s="46"/>
      <c r="I37" s="46"/>
      <c r="J37" s="46"/>
      <c r="K37" s="46"/>
      <c r="L37" s="46"/>
      <c r="M37" s="46"/>
      <c r="N37" s="46"/>
      <c r="O37" s="46"/>
      <c r="P37" s="46"/>
      <c r="Q37" s="46"/>
      <c r="R37" s="46"/>
      <c r="S37" s="46"/>
      <c r="T37" s="46"/>
      <c r="U37" s="46"/>
      <c r="V37" s="46"/>
      <c r="W37" s="46"/>
    </row>
    <row r="38" spans="1:23">
      <c r="A38" s="46"/>
      <c r="B38" s="46"/>
      <c r="C38" s="46"/>
      <c r="D38" s="46"/>
      <c r="E38" s="46"/>
      <c r="F38" s="46"/>
      <c r="G38" s="46"/>
      <c r="H38" s="46"/>
      <c r="I38" s="46"/>
      <c r="J38" s="46"/>
      <c r="K38" s="46"/>
      <c r="L38" s="46"/>
      <c r="M38" s="46"/>
      <c r="N38" s="46"/>
      <c r="O38" s="46"/>
      <c r="P38" s="46"/>
      <c r="Q38" s="46"/>
      <c r="R38" s="46"/>
      <c r="S38" s="46"/>
      <c r="T38" s="46"/>
      <c r="U38" s="46"/>
      <c r="V38" s="46"/>
      <c r="W38" s="46"/>
    </row>
    <row r="39" spans="1:23">
      <c r="A39" s="46"/>
      <c r="B39" s="46"/>
      <c r="C39" s="46"/>
      <c r="D39" s="46"/>
      <c r="E39" s="46"/>
      <c r="F39" s="46"/>
      <c r="G39" s="46"/>
      <c r="H39" s="46"/>
      <c r="I39" s="46"/>
      <c r="J39" s="46"/>
      <c r="K39" s="46"/>
      <c r="L39" s="46"/>
      <c r="M39" s="46"/>
      <c r="N39" s="46"/>
      <c r="O39" s="46"/>
      <c r="P39" s="46"/>
      <c r="Q39" s="46"/>
      <c r="R39" s="46"/>
      <c r="S39" s="46"/>
      <c r="T39" s="46"/>
      <c r="U39" s="46"/>
      <c r="V39" s="46"/>
      <c r="W39" s="46"/>
    </row>
    <row r="40" spans="1:23">
      <c r="A40" s="46"/>
      <c r="B40" s="46"/>
      <c r="C40" s="46"/>
      <c r="D40" s="46"/>
      <c r="E40" s="46"/>
      <c r="F40" s="46"/>
      <c r="G40" s="46"/>
      <c r="H40" s="46"/>
      <c r="I40" s="46"/>
      <c r="J40" s="46"/>
      <c r="K40" s="46"/>
      <c r="L40" s="46"/>
      <c r="M40" s="46"/>
      <c r="N40" s="46"/>
      <c r="O40" s="46"/>
      <c r="P40" s="46"/>
      <c r="Q40" s="46"/>
      <c r="R40" s="46"/>
      <c r="S40" s="46"/>
      <c r="T40" s="46"/>
      <c r="U40" s="46"/>
      <c r="V40" s="46"/>
      <c r="W40" s="46"/>
    </row>
    <row r="41" spans="1:23">
      <c r="A41" s="46"/>
      <c r="B41" s="46"/>
      <c r="C41" s="46"/>
      <c r="D41" s="46"/>
      <c r="E41" s="46"/>
      <c r="F41" s="46"/>
      <c r="G41" s="46"/>
      <c r="H41" s="46"/>
      <c r="I41" s="46"/>
      <c r="J41" s="46"/>
      <c r="K41" s="46"/>
      <c r="L41" s="46"/>
      <c r="M41" s="46"/>
      <c r="N41" s="46"/>
      <c r="O41" s="46"/>
      <c r="P41" s="46"/>
      <c r="Q41" s="46"/>
      <c r="R41" s="46"/>
      <c r="S41" s="46"/>
      <c r="T41" s="46"/>
      <c r="U41" s="46"/>
      <c r="V41" s="46"/>
      <c r="W41" s="46"/>
    </row>
    <row r="42" spans="1:23">
      <c r="A42" s="46"/>
      <c r="B42" s="46"/>
      <c r="C42" s="46"/>
      <c r="D42" s="46"/>
      <c r="E42" s="46"/>
      <c r="F42" s="46"/>
      <c r="G42" s="46"/>
      <c r="H42" s="46"/>
      <c r="I42" s="46"/>
      <c r="J42" s="46"/>
      <c r="K42" s="46"/>
      <c r="L42" s="46"/>
      <c r="M42" s="46"/>
      <c r="N42" s="46"/>
      <c r="O42" s="46"/>
      <c r="P42" s="46"/>
      <c r="Q42" s="46"/>
      <c r="R42" s="46"/>
      <c r="S42" s="46"/>
      <c r="T42" s="46"/>
      <c r="U42" s="46"/>
      <c r="V42" s="46"/>
      <c r="W42" s="46"/>
    </row>
    <row r="43" spans="1:23">
      <c r="A43" s="46"/>
      <c r="B43" s="46"/>
      <c r="C43" s="46"/>
      <c r="D43" s="46"/>
      <c r="E43" s="46"/>
      <c r="F43" s="46"/>
      <c r="G43" s="46"/>
      <c r="H43" s="46"/>
      <c r="I43" s="46"/>
      <c r="J43" s="46"/>
      <c r="K43" s="46"/>
      <c r="L43" s="46"/>
      <c r="M43" s="46"/>
      <c r="N43" s="46"/>
      <c r="O43" s="46"/>
      <c r="P43" s="46"/>
      <c r="Q43" s="46"/>
      <c r="R43" s="46"/>
      <c r="S43" s="46"/>
      <c r="T43" s="46"/>
      <c r="U43" s="46"/>
      <c r="V43" s="46"/>
      <c r="W43" s="46"/>
    </row>
    <row r="44" spans="1:23">
      <c r="A44" s="46"/>
      <c r="B44" s="46"/>
      <c r="C44" s="46"/>
      <c r="D44" s="46"/>
      <c r="E44" s="46"/>
      <c r="F44" s="46"/>
      <c r="G44" s="46"/>
      <c r="H44" s="46"/>
      <c r="I44" s="46"/>
      <c r="J44" s="46"/>
      <c r="K44" s="46"/>
      <c r="L44" s="46"/>
      <c r="M44" s="46"/>
      <c r="N44" s="46"/>
      <c r="O44" s="46"/>
      <c r="P44" s="46"/>
      <c r="Q44" s="46"/>
      <c r="R44" s="46"/>
      <c r="S44" s="46"/>
      <c r="T44" s="46"/>
      <c r="U44" s="46"/>
      <c r="V44" s="46"/>
      <c r="W44" s="46"/>
    </row>
    <row r="45" spans="1:23">
      <c r="A45" s="46"/>
      <c r="B45" s="46"/>
      <c r="C45" s="46"/>
      <c r="D45" s="46"/>
      <c r="E45" s="46"/>
      <c r="F45" s="46"/>
      <c r="G45" s="46"/>
      <c r="H45" s="46"/>
      <c r="I45" s="46"/>
      <c r="J45" s="46"/>
      <c r="K45" s="46"/>
      <c r="L45" s="46"/>
      <c r="M45" s="46"/>
      <c r="N45" s="46"/>
      <c r="O45" s="46"/>
      <c r="P45" s="46"/>
      <c r="Q45" s="46"/>
      <c r="R45" s="46"/>
      <c r="S45" s="46"/>
      <c r="T45" s="46"/>
      <c r="U45" s="46"/>
      <c r="V45" s="46"/>
      <c r="W45" s="46"/>
    </row>
    <row r="46" spans="1:23">
      <c r="A46" s="46"/>
      <c r="B46" s="46" t="s">
        <v>419</v>
      </c>
      <c r="C46" s="46"/>
      <c r="D46" s="46"/>
      <c r="E46" s="46"/>
      <c r="F46" s="46"/>
      <c r="G46" s="46"/>
      <c r="H46" s="46"/>
      <c r="I46" s="46"/>
      <c r="J46" s="46"/>
      <c r="K46" s="46"/>
      <c r="L46" s="46"/>
      <c r="M46" s="46"/>
      <c r="N46" s="46"/>
      <c r="O46" s="46"/>
      <c r="P46" s="46"/>
      <c r="Q46" s="46"/>
      <c r="R46" s="46"/>
      <c r="S46" s="46"/>
      <c r="T46" s="46"/>
      <c r="U46" s="46"/>
      <c r="V46" s="46"/>
      <c r="W46" s="46"/>
    </row>
    <row r="47" spans="1:23">
      <c r="A47" s="46"/>
      <c r="B47" s="46" t="s">
        <v>422</v>
      </c>
      <c r="C47" s="46"/>
      <c r="D47" s="168" t="s">
        <v>445</v>
      </c>
      <c r="E47" s="46"/>
      <c r="F47" s="46"/>
      <c r="G47" s="46"/>
      <c r="H47" s="46"/>
      <c r="I47" s="46"/>
      <c r="J47" s="46"/>
      <c r="K47" s="46"/>
      <c r="L47" s="46"/>
      <c r="M47" s="46"/>
      <c r="N47" s="46"/>
      <c r="O47" s="46"/>
      <c r="P47" s="46"/>
      <c r="Q47" s="46"/>
      <c r="R47" s="46"/>
      <c r="S47" s="46"/>
      <c r="T47" s="46"/>
      <c r="U47" s="46"/>
      <c r="V47" s="46"/>
      <c r="W47" s="46"/>
    </row>
    <row r="48" spans="1:23">
      <c r="A48" s="46"/>
      <c r="B48" s="46"/>
      <c r="C48" s="46"/>
      <c r="D48" s="46"/>
      <c r="E48" s="46"/>
      <c r="F48" s="46"/>
      <c r="G48" s="46"/>
      <c r="H48" s="46"/>
      <c r="I48" s="46"/>
      <c r="J48" s="46"/>
      <c r="K48" s="46"/>
      <c r="L48" s="46"/>
      <c r="M48" s="46"/>
      <c r="N48" s="46"/>
      <c r="O48" s="46"/>
      <c r="P48" s="46"/>
      <c r="Q48" s="46"/>
      <c r="R48" s="46"/>
      <c r="S48" s="46"/>
      <c r="T48" s="46"/>
      <c r="U48" s="46"/>
      <c r="V48" s="46"/>
      <c r="W48" s="46"/>
    </row>
    <row r="49" spans="1:23" ht="14.5" customHeight="1">
      <c r="A49" s="46"/>
      <c r="B49" s="46"/>
      <c r="C49" s="379" t="s">
        <v>35</v>
      </c>
      <c r="D49" s="454"/>
      <c r="E49" s="455"/>
      <c r="F49" s="455"/>
      <c r="G49" s="455" t="s">
        <v>421</v>
      </c>
      <c r="H49" s="455"/>
      <c r="I49" s="455"/>
      <c r="J49" s="455"/>
      <c r="K49" s="455"/>
      <c r="L49" s="455"/>
      <c r="M49" s="457"/>
      <c r="N49" s="46"/>
      <c r="O49" s="46"/>
      <c r="P49" s="46"/>
      <c r="Q49" s="46"/>
      <c r="R49" s="46"/>
      <c r="S49" s="46"/>
      <c r="T49" s="46"/>
      <c r="U49" s="46"/>
      <c r="V49" s="46"/>
      <c r="W49" s="46"/>
    </row>
    <row r="50" spans="1:23" ht="16.5">
      <c r="A50" s="46"/>
      <c r="B50" s="46"/>
      <c r="C50" s="408"/>
      <c r="D50" s="235" t="s">
        <v>350</v>
      </c>
      <c r="E50" s="351" t="s">
        <v>713</v>
      </c>
      <c r="F50" s="234" t="s">
        <v>351</v>
      </c>
      <c r="G50" s="405" t="s">
        <v>352</v>
      </c>
      <c r="H50" s="234" t="s">
        <v>783</v>
      </c>
      <c r="I50" s="234" t="s">
        <v>347</v>
      </c>
      <c r="J50" s="234" t="s">
        <v>348</v>
      </c>
      <c r="K50" s="234" t="s">
        <v>354</v>
      </c>
      <c r="L50" s="234" t="s">
        <v>355</v>
      </c>
      <c r="M50" s="234" t="s">
        <v>356</v>
      </c>
      <c r="N50" s="46"/>
      <c r="O50" s="46"/>
      <c r="P50" s="46"/>
      <c r="Q50" s="46"/>
      <c r="R50" s="46"/>
      <c r="S50" s="46"/>
      <c r="T50" s="46"/>
      <c r="U50" s="46"/>
      <c r="V50" s="46"/>
      <c r="W50" s="46"/>
    </row>
    <row r="51" spans="1:23">
      <c r="A51" s="46"/>
      <c r="B51" s="46"/>
      <c r="C51" s="232" t="str">
        <f>'Passby Data Set 1'!E10</f>
        <v>Korean HEMU-430X</v>
      </c>
      <c r="D51" s="102">
        <f>'Passby Data Set 1 Output'!E139</f>
        <v>84.93263506611035</v>
      </c>
      <c r="E51" s="102">
        <f>'Passby Data Set 1 Output'!F139</f>
        <v>87.66626450528409</v>
      </c>
      <c r="F51" s="102">
        <f>'Passby Data Set 1 Output'!G139</f>
        <v>85.706500636578653</v>
      </c>
      <c r="G51" s="102">
        <f>'Passby Data Set 1 Output'!H139</f>
        <v>86.755741977130967</v>
      </c>
      <c r="H51" s="102">
        <f>'Passby Data Set 1 Output'!I139</f>
        <v>82.300185953459618</v>
      </c>
      <c r="I51" s="102">
        <f>'Passby Data Set 1 Output'!J139</f>
        <v>85.864930690313898</v>
      </c>
      <c r="J51" s="102">
        <f>'Passby Data Set 1 Output'!K139</f>
        <v>93.048798747688423</v>
      </c>
      <c r="K51" s="102">
        <f>'Passby Data Set 1 Output'!L139</f>
        <v>59.720210559230139</v>
      </c>
      <c r="L51" s="102">
        <f>'Passby Data Set 1 Output'!M139</f>
        <v>77.826104665124248</v>
      </c>
      <c r="M51" s="102">
        <f>'Passby Data Set 1 Output'!N139</f>
        <v>86.013117652137225</v>
      </c>
      <c r="N51" s="46"/>
      <c r="O51" s="46"/>
      <c r="P51" s="46"/>
      <c r="Q51" s="46"/>
      <c r="R51" s="46"/>
      <c r="S51" s="46"/>
      <c r="T51" s="46"/>
      <c r="U51" s="46"/>
      <c r="V51" s="46"/>
      <c r="W51" s="46"/>
    </row>
    <row r="52" spans="1:23">
      <c r="A52" s="46"/>
      <c r="B52" s="46"/>
      <c r="C52" s="232" t="str">
        <f>'Passby Data Set 2'!E10</f>
        <v>Thalys PBKA</v>
      </c>
      <c r="D52" s="102">
        <f>'Passby Data Set 2 Output'!E146</f>
        <v>82.286127763105625</v>
      </c>
      <c r="E52" s="102">
        <f>'Passby Data Set 2 Output'!F146</f>
        <v>84.95394827799015</v>
      </c>
      <c r="F52" s="102">
        <f>'Passby Data Set 2 Output'!G146</f>
        <v>82.617176434460262</v>
      </c>
      <c r="G52" s="102">
        <f>'Passby Data Set 2 Output'!H146</f>
        <v>84.053403130045226</v>
      </c>
      <c r="H52" s="102">
        <f>'Passby Data Set 2 Output'!I146</f>
        <v>80.140290512522952</v>
      </c>
      <c r="I52" s="102">
        <f>'Passby Data Set 2 Output'!J146</f>
        <v>82.893176383739984</v>
      </c>
      <c r="J52" s="102">
        <f>'Passby Data Set 2 Output'!K146</f>
        <v>93.171259369173072</v>
      </c>
      <c r="K52" s="102">
        <f>'Passby Data Set 2 Output'!L146</f>
        <v>59.31394827799015</v>
      </c>
      <c r="L52" s="102">
        <f>'Passby Data Set 2 Output'!M146</f>
        <v>80.253948277990148</v>
      </c>
      <c r="M52" s="102">
        <f>'Passby Data Set 2 Output'!N146</f>
        <v>83.413948277990158</v>
      </c>
      <c r="N52" s="46"/>
      <c r="O52" s="46"/>
      <c r="P52" s="46"/>
      <c r="Q52" s="46"/>
      <c r="R52" s="46"/>
      <c r="S52" s="46"/>
      <c r="T52" s="46"/>
      <c r="U52" s="46"/>
      <c r="V52" s="46"/>
      <c r="W52" s="46"/>
    </row>
    <row r="53" spans="1:23">
      <c r="A53" s="46"/>
      <c r="B53" s="46"/>
      <c r="C53" s="232" t="str">
        <f>'Passby Data Set 4'!E10</f>
        <v>CRH3 Series (based on Siemens)</v>
      </c>
      <c r="D53" s="102">
        <f>'Passby Data Set 4 Output'!E142</f>
        <v>77.233216141466642</v>
      </c>
      <c r="E53" s="102">
        <f>'Passby Data Set 4 Output'!F142</f>
        <v>78.803620883526136</v>
      </c>
      <c r="F53" s="102">
        <f>'Passby Data Set 4 Output'!G142</f>
        <v>77.755010654233473</v>
      </c>
      <c r="G53" s="102">
        <f>'Passby Data Set 4 Output'!H142</f>
        <v>78.485188566702121</v>
      </c>
      <c r="H53" s="102">
        <f>'Passby Data Set 4 Output'!I142</f>
        <v>76.850889880980645</v>
      </c>
      <c r="I53" s="102">
        <f>'Passby Data Set 4 Output'!J142</f>
        <v>78.041083869097079</v>
      </c>
      <c r="J53" s="102">
        <f>'Passby Data Set 4 Output'!K142</f>
        <v>88.497448110314892</v>
      </c>
      <c r="K53" s="102">
        <f>'Passby Data Set 4 Output'!L142</f>
        <v>67.303620883526136</v>
      </c>
      <c r="L53" s="102">
        <f>'Passby Data Set 4 Output'!M142</f>
        <v>77.503620883526139</v>
      </c>
      <c r="M53" s="102">
        <f>'Passby Data Set 4 Output'!N142</f>
        <v>78.203620883526128</v>
      </c>
      <c r="N53" s="46"/>
      <c r="O53" s="46"/>
      <c r="P53" s="46"/>
      <c r="Q53" s="46"/>
      <c r="R53" s="46"/>
      <c r="S53" s="46"/>
      <c r="T53" s="46"/>
      <c r="U53" s="46"/>
      <c r="V53" s="46"/>
      <c r="W53" s="46"/>
    </row>
    <row r="54" spans="1:23">
      <c r="A54" s="46"/>
      <c r="B54" s="46"/>
      <c r="C54" s="46"/>
      <c r="D54" s="46"/>
      <c r="E54" s="46"/>
      <c r="F54" s="46"/>
      <c r="G54" s="46"/>
      <c r="H54" s="46"/>
      <c r="I54" s="46"/>
      <c r="J54" s="46"/>
      <c r="K54" s="46"/>
      <c r="L54" s="46"/>
      <c r="M54" s="46"/>
      <c r="N54" s="46"/>
      <c r="O54" s="46"/>
      <c r="P54" s="46"/>
      <c r="Q54" s="46"/>
      <c r="R54" s="46"/>
      <c r="S54" s="46"/>
      <c r="T54" s="46"/>
      <c r="U54" s="46"/>
      <c r="V54" s="46"/>
      <c r="W54" s="46"/>
    </row>
    <row r="55" spans="1:23">
      <c r="A55" s="46"/>
      <c r="B55" s="46"/>
      <c r="C55" s="46"/>
      <c r="D55" s="46"/>
      <c r="E55" s="46"/>
      <c r="F55" s="46"/>
      <c r="G55" s="46"/>
      <c r="H55" s="46"/>
      <c r="I55" s="46"/>
      <c r="J55" s="46"/>
      <c r="K55" s="46"/>
      <c r="L55" s="46"/>
      <c r="M55" s="46"/>
      <c r="N55" s="46"/>
      <c r="O55" s="46"/>
      <c r="P55" s="46"/>
      <c r="Q55" s="46"/>
      <c r="R55" s="46"/>
      <c r="S55" s="46"/>
      <c r="T55" s="46"/>
      <c r="U55" s="46"/>
      <c r="V55" s="46"/>
      <c r="W55" s="46"/>
    </row>
    <row r="56" spans="1:23">
      <c r="A56" s="46"/>
      <c r="B56" s="46"/>
      <c r="C56" s="46"/>
      <c r="D56" s="46"/>
      <c r="E56" s="46"/>
      <c r="F56" s="46"/>
      <c r="G56" s="46"/>
      <c r="H56" s="46"/>
      <c r="I56" s="46"/>
      <c r="J56" s="46"/>
      <c r="K56" s="46"/>
      <c r="L56" s="46"/>
      <c r="M56" s="46"/>
      <c r="N56" s="46"/>
      <c r="O56" s="46"/>
      <c r="P56" s="46"/>
      <c r="Q56" s="46"/>
      <c r="R56" s="46"/>
      <c r="S56" s="46"/>
      <c r="T56" s="46"/>
      <c r="U56" s="46"/>
      <c r="V56" s="46"/>
      <c r="W56" s="46"/>
    </row>
    <row r="57" spans="1:23">
      <c r="A57" s="46"/>
      <c r="B57" s="46"/>
      <c r="C57" s="46"/>
      <c r="D57" s="46"/>
      <c r="E57" s="46"/>
      <c r="F57" s="46"/>
      <c r="G57" s="46"/>
      <c r="H57" s="46"/>
      <c r="I57" s="46"/>
      <c r="J57" s="46"/>
      <c r="K57" s="46"/>
      <c r="L57" s="46"/>
      <c r="M57" s="46"/>
      <c r="N57" s="46"/>
      <c r="O57" s="46"/>
      <c r="P57" s="46"/>
      <c r="Q57" s="46"/>
      <c r="R57" s="46"/>
      <c r="S57" s="46"/>
      <c r="T57" s="46"/>
      <c r="U57" s="46"/>
      <c r="V57" s="46"/>
      <c r="W57" s="46"/>
    </row>
    <row r="58" spans="1:23">
      <c r="A58" s="46"/>
      <c r="B58" s="46"/>
      <c r="C58" s="46"/>
      <c r="D58" s="46"/>
      <c r="E58" s="46"/>
      <c r="F58" s="46"/>
      <c r="G58" s="46"/>
      <c r="H58" s="46"/>
      <c r="I58" s="46"/>
      <c r="J58" s="46"/>
      <c r="K58" s="46"/>
      <c r="L58" s="46"/>
      <c r="M58" s="46"/>
      <c r="N58" s="46"/>
      <c r="O58" s="46"/>
      <c r="P58" s="46"/>
      <c r="Q58" s="46"/>
      <c r="R58" s="46"/>
      <c r="S58" s="46"/>
      <c r="T58" s="46"/>
      <c r="U58" s="46"/>
      <c r="V58" s="46"/>
      <c r="W58" s="46"/>
    </row>
    <row r="59" spans="1:23">
      <c r="A59" s="46"/>
      <c r="B59" s="46"/>
      <c r="C59" s="46"/>
      <c r="D59" s="46"/>
      <c r="E59" s="46"/>
      <c r="F59" s="46"/>
      <c r="G59" s="46"/>
      <c r="H59" s="46"/>
      <c r="I59" s="46"/>
      <c r="J59" s="46"/>
      <c r="K59" s="46"/>
      <c r="L59" s="46"/>
      <c r="M59" s="46"/>
      <c r="N59" s="46"/>
      <c r="O59" s="46"/>
      <c r="P59" s="46"/>
      <c r="Q59" s="46"/>
      <c r="R59" s="46"/>
      <c r="S59" s="46"/>
      <c r="T59" s="46"/>
      <c r="U59" s="46"/>
      <c r="V59" s="46"/>
      <c r="W59" s="46"/>
    </row>
    <row r="60" spans="1:23">
      <c r="A60" s="46"/>
      <c r="B60" s="46"/>
      <c r="C60" s="46"/>
      <c r="D60" s="46"/>
      <c r="E60" s="46"/>
      <c r="F60" s="46"/>
      <c r="G60" s="46"/>
      <c r="H60" s="46"/>
      <c r="I60" s="46"/>
      <c r="J60" s="46"/>
      <c r="K60" s="46"/>
      <c r="L60" s="46"/>
      <c r="M60" s="46"/>
      <c r="N60" s="46"/>
      <c r="O60" s="46"/>
      <c r="P60" s="46"/>
      <c r="Q60" s="46"/>
      <c r="R60" s="46"/>
      <c r="S60" s="46"/>
      <c r="T60" s="46"/>
      <c r="U60" s="46"/>
      <c r="V60" s="46"/>
      <c r="W60" s="46"/>
    </row>
    <row r="61" spans="1:23">
      <c r="A61" s="46"/>
      <c r="B61" s="46"/>
      <c r="C61" s="46"/>
      <c r="D61" s="46"/>
      <c r="E61" s="46"/>
      <c r="F61" s="46"/>
      <c r="G61" s="46"/>
      <c r="H61" s="46"/>
      <c r="I61" s="46"/>
      <c r="J61" s="46"/>
      <c r="K61" s="46"/>
      <c r="L61" s="46"/>
      <c r="M61" s="46"/>
      <c r="N61" s="46"/>
      <c r="O61" s="46"/>
      <c r="P61" s="46"/>
      <c r="Q61" s="46"/>
      <c r="R61" s="46"/>
      <c r="S61" s="46"/>
      <c r="T61" s="46"/>
      <c r="U61" s="46"/>
      <c r="V61" s="46"/>
      <c r="W61" s="46"/>
    </row>
    <row r="62" spans="1:23">
      <c r="A62" s="46"/>
      <c r="B62" s="46"/>
      <c r="C62" s="46"/>
      <c r="D62" s="46"/>
      <c r="E62" s="46"/>
      <c r="F62" s="46"/>
      <c r="G62" s="46"/>
      <c r="H62" s="46"/>
      <c r="I62" s="46"/>
      <c r="J62" s="46"/>
      <c r="K62" s="46"/>
      <c r="L62" s="46"/>
      <c r="M62" s="46"/>
      <c r="N62" s="46"/>
      <c r="O62" s="46"/>
      <c r="P62" s="46"/>
      <c r="Q62" s="46"/>
      <c r="R62" s="46"/>
      <c r="S62" s="46"/>
      <c r="T62" s="46"/>
      <c r="U62" s="46"/>
      <c r="V62" s="46"/>
      <c r="W62" s="46"/>
    </row>
    <row r="63" spans="1:23">
      <c r="A63" s="46"/>
      <c r="B63" s="46"/>
      <c r="C63" s="46"/>
      <c r="D63" s="46"/>
      <c r="E63" s="46"/>
      <c r="F63" s="46"/>
      <c r="G63" s="46"/>
      <c r="H63" s="46"/>
      <c r="I63" s="46"/>
      <c r="J63" s="46"/>
      <c r="K63" s="46"/>
      <c r="L63" s="46"/>
      <c r="M63" s="46"/>
      <c r="N63" s="46"/>
      <c r="O63" s="46"/>
      <c r="P63" s="46"/>
      <c r="Q63" s="46"/>
      <c r="R63" s="46"/>
      <c r="S63" s="46"/>
      <c r="T63" s="46"/>
      <c r="U63" s="46"/>
      <c r="V63" s="46"/>
      <c r="W63" s="46"/>
    </row>
    <row r="64" spans="1:23">
      <c r="A64" s="46"/>
      <c r="B64" s="46"/>
      <c r="C64" s="46"/>
      <c r="D64" s="46"/>
      <c r="E64" s="46"/>
      <c r="F64" s="46"/>
      <c r="G64" s="46"/>
      <c r="H64" s="46"/>
      <c r="I64" s="46"/>
      <c r="J64" s="46"/>
      <c r="K64" s="46"/>
      <c r="L64" s="46"/>
      <c r="M64" s="46"/>
      <c r="N64" s="46"/>
      <c r="O64" s="46"/>
      <c r="P64" s="46"/>
      <c r="Q64" s="46"/>
      <c r="R64" s="46"/>
      <c r="S64" s="46"/>
      <c r="T64" s="46"/>
      <c r="U64" s="46"/>
      <c r="V64" s="46"/>
      <c r="W64" s="46"/>
    </row>
    <row r="65" spans="1:23">
      <c r="A65" s="46"/>
      <c r="B65" s="46"/>
      <c r="C65" s="46"/>
      <c r="D65" s="46"/>
      <c r="E65" s="46"/>
      <c r="F65" s="46"/>
      <c r="G65" s="46"/>
      <c r="H65" s="46"/>
      <c r="I65" s="46"/>
      <c r="J65" s="46"/>
      <c r="K65" s="46"/>
      <c r="L65" s="46"/>
      <c r="M65" s="46"/>
      <c r="N65" s="46"/>
      <c r="O65" s="46"/>
      <c r="P65" s="46"/>
      <c r="Q65" s="46"/>
      <c r="R65" s="46"/>
      <c r="S65" s="46"/>
      <c r="T65" s="46"/>
      <c r="U65" s="46"/>
      <c r="V65" s="46"/>
      <c r="W65" s="46"/>
    </row>
    <row r="66" spans="1:23">
      <c r="A66" s="46"/>
      <c r="B66" s="46"/>
      <c r="C66" s="46"/>
      <c r="D66" s="46"/>
      <c r="E66" s="46"/>
      <c r="F66" s="46"/>
      <c r="G66" s="46"/>
      <c r="H66" s="46"/>
      <c r="I66" s="46"/>
      <c r="J66" s="46"/>
      <c r="K66" s="46"/>
      <c r="L66" s="46"/>
      <c r="M66" s="46"/>
      <c r="N66" s="46"/>
      <c r="O66" s="46"/>
      <c r="P66" s="46"/>
      <c r="Q66" s="46"/>
      <c r="R66" s="46"/>
      <c r="S66" s="46"/>
      <c r="T66" s="46"/>
      <c r="U66" s="46"/>
      <c r="V66" s="46"/>
      <c r="W66" s="46"/>
    </row>
    <row r="67" spans="1:23">
      <c r="A67" s="46"/>
      <c r="B67" s="46"/>
      <c r="C67" s="46"/>
      <c r="D67" s="46"/>
      <c r="E67" s="46"/>
      <c r="F67" s="46"/>
      <c r="G67" s="46"/>
      <c r="H67" s="46"/>
      <c r="I67" s="46"/>
      <c r="J67" s="46"/>
      <c r="K67" s="46"/>
      <c r="L67" s="46"/>
      <c r="M67" s="46"/>
      <c r="N67" s="46"/>
      <c r="O67" s="46"/>
      <c r="P67" s="46"/>
      <c r="Q67" s="46"/>
      <c r="R67" s="46"/>
      <c r="S67" s="46"/>
      <c r="T67" s="46"/>
      <c r="U67" s="46"/>
      <c r="V67" s="46"/>
      <c r="W67" s="46"/>
    </row>
    <row r="68" spans="1:23">
      <c r="A68" s="46"/>
      <c r="B68" s="46"/>
      <c r="C68" s="46"/>
      <c r="D68" s="46"/>
      <c r="E68" s="46"/>
      <c r="F68" s="46"/>
      <c r="G68" s="46"/>
      <c r="H68" s="46"/>
      <c r="I68" s="46"/>
      <c r="J68" s="46"/>
      <c r="K68" s="46"/>
      <c r="L68" s="46"/>
      <c r="M68" s="46"/>
      <c r="N68" s="46"/>
      <c r="O68" s="46"/>
      <c r="P68" s="46"/>
      <c r="Q68" s="46"/>
      <c r="R68" s="46"/>
      <c r="S68" s="46"/>
      <c r="T68" s="46"/>
      <c r="U68" s="46"/>
      <c r="V68" s="46"/>
      <c r="W68" s="46"/>
    </row>
    <row r="69" spans="1:23">
      <c r="A69" s="46"/>
      <c r="B69" s="46"/>
      <c r="C69" s="46"/>
      <c r="D69" s="46"/>
      <c r="E69" s="46"/>
      <c r="F69" s="46"/>
      <c r="G69" s="46"/>
      <c r="H69" s="46"/>
      <c r="I69" s="46"/>
      <c r="J69" s="46"/>
      <c r="K69" s="46"/>
      <c r="L69" s="46"/>
      <c r="M69" s="46"/>
      <c r="N69" s="46"/>
      <c r="O69" s="46"/>
      <c r="P69" s="46"/>
      <c r="Q69" s="46"/>
      <c r="R69" s="46"/>
      <c r="S69" s="46"/>
      <c r="T69" s="46"/>
      <c r="U69" s="46"/>
      <c r="V69" s="46"/>
      <c r="W69" s="46"/>
    </row>
    <row r="70" spans="1:23">
      <c r="A70" s="46"/>
      <c r="B70" s="46"/>
      <c r="C70" s="46"/>
      <c r="D70" s="46"/>
      <c r="E70" s="46"/>
      <c r="F70" s="46"/>
      <c r="G70" s="46"/>
      <c r="H70" s="46"/>
      <c r="I70" s="46"/>
      <c r="J70" s="46"/>
      <c r="K70" s="46"/>
      <c r="L70" s="46"/>
      <c r="M70" s="46"/>
      <c r="N70" s="46"/>
      <c r="O70" s="46"/>
      <c r="P70" s="46"/>
      <c r="Q70" s="46"/>
      <c r="R70" s="46"/>
      <c r="S70" s="46"/>
      <c r="T70" s="46"/>
      <c r="U70" s="46"/>
      <c r="V70" s="46"/>
      <c r="W70" s="46"/>
    </row>
    <row r="71" spans="1:23">
      <c r="A71" s="46"/>
      <c r="B71" s="46"/>
      <c r="C71" s="46"/>
      <c r="D71" s="46"/>
      <c r="E71" s="46"/>
      <c r="F71" s="46"/>
      <c r="G71" s="46"/>
      <c r="H71" s="46"/>
      <c r="I71" s="46"/>
      <c r="J71" s="46"/>
      <c r="K71" s="46"/>
      <c r="L71" s="46"/>
      <c r="M71" s="46"/>
      <c r="N71" s="46"/>
      <c r="O71" s="46"/>
      <c r="P71" s="46"/>
      <c r="Q71" s="46"/>
      <c r="R71" s="46"/>
      <c r="S71" s="46"/>
      <c r="T71" s="46"/>
      <c r="U71" s="46"/>
      <c r="V71" s="46"/>
      <c r="W71" s="46"/>
    </row>
    <row r="72" spans="1:23">
      <c r="A72" s="46"/>
      <c r="B72" s="46"/>
      <c r="C72" s="46"/>
      <c r="D72" s="46"/>
      <c r="E72" s="46"/>
      <c r="F72" s="46"/>
      <c r="G72" s="46"/>
      <c r="H72" s="46"/>
      <c r="I72" s="46"/>
      <c r="J72" s="46"/>
      <c r="K72" s="46"/>
      <c r="L72" s="46"/>
      <c r="M72" s="46"/>
      <c r="N72" s="46"/>
      <c r="O72" s="46"/>
      <c r="P72" s="46"/>
      <c r="Q72" s="46"/>
      <c r="R72" s="46"/>
      <c r="S72" s="46"/>
      <c r="T72" s="46"/>
      <c r="U72" s="46"/>
      <c r="V72" s="46"/>
      <c r="W72" s="46"/>
    </row>
    <row r="73" spans="1:23">
      <c r="A73" s="46"/>
      <c r="B73" s="46"/>
      <c r="C73" s="46"/>
      <c r="D73" s="46"/>
      <c r="E73" s="46"/>
      <c r="F73" s="46"/>
      <c r="G73" s="46"/>
      <c r="H73" s="46"/>
      <c r="I73" s="46"/>
      <c r="J73" s="46"/>
      <c r="K73" s="46"/>
      <c r="L73" s="46"/>
      <c r="M73" s="46"/>
      <c r="N73" s="46"/>
      <c r="O73" s="46"/>
      <c r="P73" s="46"/>
      <c r="Q73" s="46"/>
      <c r="R73" s="46"/>
      <c r="S73" s="46"/>
      <c r="T73" s="46"/>
      <c r="U73" s="46"/>
      <c r="V73" s="46"/>
      <c r="W73" s="46"/>
    </row>
    <row r="74" spans="1:23">
      <c r="A74" s="46"/>
      <c r="B74" s="46"/>
      <c r="C74" s="46"/>
      <c r="D74" s="46"/>
      <c r="E74" s="46"/>
      <c r="F74" s="46"/>
      <c r="G74" s="46"/>
      <c r="H74" s="46"/>
      <c r="I74" s="46"/>
      <c r="J74" s="46"/>
      <c r="K74" s="46"/>
      <c r="L74" s="46"/>
      <c r="M74" s="46"/>
      <c r="N74" s="46"/>
      <c r="O74" s="46"/>
      <c r="P74" s="46"/>
      <c r="Q74" s="46"/>
      <c r="R74" s="46"/>
      <c r="S74" s="46"/>
      <c r="T74" s="46"/>
      <c r="U74" s="46"/>
      <c r="V74" s="46"/>
      <c r="W74" s="46"/>
    </row>
    <row r="75" spans="1:23">
      <c r="A75" s="46"/>
      <c r="B75" s="46"/>
      <c r="C75" s="46"/>
      <c r="D75" s="46"/>
      <c r="E75" s="46"/>
      <c r="F75" s="46"/>
      <c r="G75" s="46"/>
      <c r="H75" s="46"/>
      <c r="I75" s="46"/>
      <c r="J75" s="46"/>
      <c r="K75" s="46"/>
      <c r="L75" s="46"/>
      <c r="M75" s="46"/>
      <c r="N75" s="46"/>
      <c r="O75" s="46"/>
      <c r="P75" s="46"/>
      <c r="Q75" s="46"/>
      <c r="R75" s="46"/>
      <c r="S75" s="46"/>
      <c r="T75" s="46"/>
      <c r="U75" s="46"/>
      <c r="V75" s="46"/>
      <c r="W75" s="46"/>
    </row>
    <row r="76" spans="1:23">
      <c r="A76" s="46"/>
      <c r="B76" s="46"/>
      <c r="C76" s="46"/>
      <c r="D76" s="46"/>
      <c r="E76" s="46"/>
      <c r="F76" s="46"/>
      <c r="G76" s="46"/>
      <c r="H76" s="46"/>
      <c r="I76" s="46"/>
      <c r="J76" s="46"/>
      <c r="K76" s="46"/>
      <c r="L76" s="46"/>
      <c r="M76" s="46"/>
      <c r="N76" s="46"/>
      <c r="O76" s="46"/>
      <c r="P76" s="46"/>
      <c r="Q76" s="46"/>
      <c r="R76" s="46"/>
      <c r="S76" s="46"/>
      <c r="T76" s="46"/>
      <c r="U76" s="46"/>
      <c r="V76" s="46"/>
      <c r="W76" s="46"/>
    </row>
    <row r="77" spans="1:23">
      <c r="A77" s="46"/>
      <c r="B77" s="168" t="s">
        <v>513</v>
      </c>
      <c r="C77" s="46"/>
      <c r="D77" s="46"/>
      <c r="E77" s="46"/>
      <c r="F77" s="46"/>
      <c r="G77" s="46"/>
      <c r="H77" s="46"/>
      <c r="I77" s="46"/>
      <c r="J77" s="46"/>
      <c r="K77" s="46"/>
      <c r="L77" s="46"/>
      <c r="M77" s="46"/>
      <c r="N77" s="46"/>
      <c r="O77" s="46"/>
      <c r="P77" s="46"/>
      <c r="Q77" s="46"/>
      <c r="R77" s="46"/>
      <c r="S77" s="46"/>
      <c r="T77" s="46"/>
      <c r="U77" s="46"/>
      <c r="V77" s="46"/>
      <c r="W77" s="46"/>
    </row>
    <row r="78" spans="1:23" ht="16.5">
      <c r="A78" s="46"/>
      <c r="B78" s="46" t="s">
        <v>437</v>
      </c>
      <c r="C78" s="46"/>
      <c r="D78" s="46"/>
      <c r="E78" s="46"/>
      <c r="F78" s="46"/>
      <c r="G78" s="46"/>
      <c r="H78" s="46"/>
      <c r="I78" s="46"/>
      <c r="J78" s="46"/>
      <c r="K78" s="46"/>
      <c r="L78" s="46"/>
      <c r="M78" s="46"/>
      <c r="N78" s="46"/>
      <c r="O78" s="46"/>
      <c r="P78" s="46"/>
      <c r="Q78" s="46"/>
      <c r="R78" s="46"/>
      <c r="S78" s="46"/>
      <c r="T78" s="46"/>
      <c r="U78" s="46"/>
      <c r="V78" s="46"/>
      <c r="W78" s="46"/>
    </row>
    <row r="79" spans="1:23">
      <c r="A79" s="46"/>
      <c r="B79" s="46"/>
      <c r="C79" s="46"/>
      <c r="D79" s="46"/>
      <c r="E79" s="46"/>
      <c r="F79" s="46"/>
      <c r="G79" s="46"/>
      <c r="H79" s="46"/>
      <c r="I79" s="46"/>
      <c r="J79" s="46"/>
      <c r="K79" s="46"/>
      <c r="L79" s="46"/>
      <c r="M79" s="46"/>
      <c r="N79" s="46"/>
      <c r="O79" s="46"/>
      <c r="P79" s="46"/>
      <c r="Q79" s="46"/>
      <c r="R79" s="46"/>
      <c r="S79" s="46"/>
      <c r="T79" s="46"/>
      <c r="U79" s="46"/>
      <c r="V79" s="46"/>
      <c r="W79" s="46"/>
    </row>
    <row r="80" spans="1:23" ht="16.5">
      <c r="A80" s="46"/>
      <c r="B80" s="46"/>
      <c r="C80" s="379" t="s">
        <v>35</v>
      </c>
      <c r="D80" s="443"/>
      <c r="E80" s="458" t="s">
        <v>441</v>
      </c>
      <c r="F80" s="443"/>
      <c r="G80" s="459" t="s">
        <v>444</v>
      </c>
      <c r="H80" s="46"/>
      <c r="I80" s="46"/>
      <c r="J80" s="46"/>
      <c r="K80" s="46"/>
      <c r="L80" s="46"/>
      <c r="M80" s="46"/>
      <c r="N80" s="46"/>
      <c r="O80" s="46"/>
      <c r="P80" s="46"/>
      <c r="Q80" s="46"/>
      <c r="R80" s="46"/>
      <c r="S80" s="46"/>
      <c r="T80" s="46"/>
      <c r="U80" s="46"/>
      <c r="V80" s="46"/>
      <c r="W80" s="46"/>
    </row>
    <row r="81" spans="1:23">
      <c r="A81" s="46"/>
      <c r="B81" s="46"/>
      <c r="C81" s="408"/>
      <c r="D81" s="240" t="s">
        <v>442</v>
      </c>
      <c r="E81" s="357" t="s">
        <v>443</v>
      </c>
      <c r="F81" s="240" t="s">
        <v>442</v>
      </c>
      <c r="G81" s="357" t="s">
        <v>443</v>
      </c>
      <c r="H81" s="46"/>
      <c r="I81" s="46"/>
      <c r="J81" s="46"/>
      <c r="K81" s="46"/>
      <c r="L81" s="46"/>
      <c r="M81" s="46"/>
      <c r="N81" s="46"/>
      <c r="O81" s="46"/>
      <c r="P81" s="46"/>
      <c r="Q81" s="46"/>
      <c r="R81" s="46"/>
      <c r="S81" s="46"/>
      <c r="T81" s="46"/>
      <c r="U81" s="46"/>
      <c r="V81" s="46"/>
      <c r="W81" s="46"/>
    </row>
    <row r="82" spans="1:23">
      <c r="A82" s="46"/>
      <c r="B82" s="46"/>
      <c r="C82" s="232" t="str">
        <f>C51</f>
        <v>Korean HEMU-430X</v>
      </c>
      <c r="D82" s="180">
        <f>'Passby Data Set 1 Output'!G184</f>
        <v>84.93263506611035</v>
      </c>
      <c r="E82" s="180">
        <f>'Passby Data Set 1 Output'!J184</f>
        <v>84.93263506611035</v>
      </c>
      <c r="F82" s="180">
        <f>'Passby Data Set 1 Output'!G185</f>
        <v>97.609360900793973</v>
      </c>
      <c r="G82" s="180">
        <f>'Passby Data Set 1 Output'!J185</f>
        <v>95.695736063394676</v>
      </c>
      <c r="H82" s="46"/>
      <c r="I82" s="46"/>
      <c r="J82" s="46"/>
      <c r="K82" s="46"/>
      <c r="L82" s="46"/>
      <c r="M82" s="46"/>
      <c r="N82" s="46"/>
      <c r="O82" s="46"/>
      <c r="P82" s="46"/>
      <c r="Q82" s="46"/>
      <c r="R82" s="46"/>
      <c r="S82" s="46"/>
      <c r="T82" s="46"/>
      <c r="U82" s="46"/>
      <c r="V82" s="46"/>
      <c r="W82" s="46"/>
    </row>
    <row r="83" spans="1:23">
      <c r="A83" s="46"/>
      <c r="B83" s="46"/>
      <c r="C83" s="232" t="str">
        <f t="shared" ref="C83" si="0">C52</f>
        <v>Thalys PBKA</v>
      </c>
      <c r="D83" s="180">
        <f>'Passby Data Set 2 Output'!G191</f>
        <v>82.286127763105625</v>
      </c>
      <c r="E83" s="180">
        <f>'Passby Data Set 2 Output'!J191</f>
        <v>82.286127763105625</v>
      </c>
      <c r="F83" s="180">
        <f>'Passby Data Set 2 Output'!G192</f>
        <v>96.352266575647619</v>
      </c>
      <c r="G83" s="180">
        <f>'Passby Data Set 2 Output'!J192</f>
        <v>95.664594365770427</v>
      </c>
      <c r="H83" s="46"/>
      <c r="I83" s="46"/>
      <c r="J83" s="46"/>
      <c r="K83" s="46"/>
      <c r="L83" s="46"/>
      <c r="M83" s="46"/>
      <c r="N83" s="46"/>
      <c r="O83" s="46"/>
      <c r="P83" s="46"/>
      <c r="Q83" s="46"/>
      <c r="R83" s="46"/>
      <c r="S83" s="46"/>
      <c r="T83" s="46"/>
      <c r="U83" s="46"/>
      <c r="V83" s="46"/>
      <c r="W83" s="46"/>
    </row>
    <row r="84" spans="1:23">
      <c r="A84" s="46"/>
      <c r="B84" s="46"/>
      <c r="C84" s="232" t="s">
        <v>438</v>
      </c>
      <c r="D84" s="180">
        <f>'Passby Data Set 4 Output'!G187</f>
        <v>77.233216141466642</v>
      </c>
      <c r="E84" s="180">
        <f>'Passby Data Set 4 Output'!J187</f>
        <v>77.233216141466642</v>
      </c>
      <c r="F84" s="180">
        <f>'Passby Data Set 4 Output'!G188</f>
        <v>91.706530668469298</v>
      </c>
      <c r="G84" s="180">
        <f>'Passby Data Set 4 Output'!J188</f>
        <v>91.378131147822103</v>
      </c>
      <c r="H84" s="46"/>
      <c r="I84" s="46"/>
      <c r="J84" s="46"/>
      <c r="K84" s="46"/>
      <c r="L84" s="46"/>
      <c r="M84" s="46"/>
      <c r="N84" s="46"/>
      <c r="O84" s="46"/>
      <c r="P84" s="46"/>
      <c r="Q84" s="46"/>
      <c r="R84" s="46"/>
      <c r="S84" s="46"/>
      <c r="T84" s="46"/>
      <c r="U84" s="46"/>
      <c r="V84" s="46"/>
      <c r="W84" s="46"/>
    </row>
    <row r="85" spans="1:23">
      <c r="A85" s="46"/>
      <c r="B85" s="46"/>
      <c r="C85" s="232" t="s">
        <v>439</v>
      </c>
      <c r="D85" s="180">
        <f>'Passby Data Set 3 Output'!G187</f>
        <v>76.995906162421136</v>
      </c>
      <c r="E85" s="180">
        <f>'Passby Data Set 3 Output'!J187</f>
        <v>76.995906162421136</v>
      </c>
      <c r="F85" s="180">
        <f>'Passby Data Set 3 Output'!G188</f>
        <v>91.469220689423793</v>
      </c>
      <c r="G85" s="180">
        <f>'Passby Data Set 3 Output'!J188</f>
        <v>91.140821168776597</v>
      </c>
      <c r="H85" s="46"/>
      <c r="I85" s="46"/>
      <c r="J85" s="46"/>
      <c r="K85" s="46"/>
      <c r="L85" s="46"/>
      <c r="M85" s="46"/>
      <c r="N85" s="46"/>
      <c r="O85" s="46"/>
      <c r="P85" s="46"/>
      <c r="Q85" s="46"/>
      <c r="R85" s="46"/>
      <c r="S85" s="46"/>
      <c r="T85" s="46"/>
      <c r="U85" s="46"/>
      <c r="V85" s="46"/>
      <c r="W85" s="46"/>
    </row>
    <row r="86" spans="1:23">
      <c r="A86" s="46"/>
      <c r="B86" s="46"/>
      <c r="C86" s="232" t="s">
        <v>440</v>
      </c>
      <c r="D86" s="180">
        <f>'Passby Data Set 5 Output'!G187</f>
        <v>77.396927934970847</v>
      </c>
      <c r="E86" s="180">
        <f>'Passby Data Set 5 Output'!J187</f>
        <v>77.396927934970847</v>
      </c>
      <c r="F86" s="180">
        <f>'Passby Data Set 5 Output'!G188</f>
        <v>91.870242461973504</v>
      </c>
      <c r="G86" s="180">
        <f>'Passby Data Set 5 Output'!J188</f>
        <v>91.541842941326308</v>
      </c>
      <c r="H86" s="46"/>
      <c r="I86" s="46"/>
      <c r="J86" s="46"/>
      <c r="K86" s="46"/>
      <c r="L86" s="46"/>
      <c r="M86" s="46"/>
      <c r="N86" s="46"/>
      <c r="O86" s="46"/>
      <c r="P86" s="46"/>
      <c r="Q86" s="46"/>
      <c r="R86" s="46"/>
      <c r="S86" s="46"/>
      <c r="T86" s="46"/>
      <c r="U86" s="46"/>
      <c r="V86" s="46"/>
      <c r="W86" s="46"/>
    </row>
    <row r="87" spans="1:23">
      <c r="A87" s="46"/>
      <c r="B87" s="46"/>
      <c r="C87" s="46"/>
      <c r="D87" s="46"/>
      <c r="E87" s="46"/>
      <c r="F87" s="46"/>
      <c r="G87" s="46"/>
      <c r="H87" s="46"/>
      <c r="I87" s="46"/>
      <c r="J87" s="46"/>
      <c r="K87" s="46"/>
      <c r="L87" s="46"/>
      <c r="M87" s="46"/>
      <c r="N87" s="46"/>
      <c r="O87" s="46"/>
      <c r="P87" s="46"/>
      <c r="Q87" s="46"/>
      <c r="R87" s="46"/>
      <c r="S87" s="46"/>
      <c r="T87" s="46"/>
      <c r="U87" s="46"/>
      <c r="V87" s="46"/>
      <c r="W87" s="46"/>
    </row>
    <row r="88" spans="1:23" ht="16.5">
      <c r="A88" s="46"/>
      <c r="B88" s="46"/>
      <c r="C88" s="168" t="s">
        <v>446</v>
      </c>
      <c r="D88" s="46"/>
      <c r="E88" s="46"/>
      <c r="F88" s="46"/>
      <c r="G88" s="46"/>
      <c r="H88" s="46"/>
      <c r="I88" s="46"/>
      <c r="J88" s="46"/>
      <c r="K88" s="46"/>
      <c r="L88" s="46"/>
      <c r="M88" s="46"/>
      <c r="N88" s="46"/>
      <c r="O88" s="46"/>
      <c r="P88" s="46"/>
      <c r="Q88" s="46"/>
      <c r="R88" s="46"/>
      <c r="S88" s="46"/>
      <c r="T88" s="46"/>
      <c r="U88" s="46"/>
      <c r="V88" s="46"/>
      <c r="W88" s="46"/>
    </row>
    <row r="89" spans="1:23">
      <c r="A89" s="46"/>
      <c r="B89" s="46"/>
      <c r="C89" s="46"/>
      <c r="D89" s="46"/>
      <c r="E89" s="46"/>
      <c r="F89" s="46"/>
      <c r="G89" s="46"/>
      <c r="H89" s="46"/>
      <c r="I89" s="46"/>
      <c r="J89" s="46"/>
      <c r="K89" s="46"/>
      <c r="L89" s="46"/>
      <c r="M89" s="46"/>
      <c r="N89" s="46"/>
      <c r="O89" s="46"/>
      <c r="P89" s="46"/>
      <c r="Q89" s="46"/>
      <c r="R89" s="46"/>
      <c r="S89" s="46"/>
      <c r="T89" s="46"/>
      <c r="U89" s="46"/>
      <c r="V89" s="46"/>
      <c r="W89" s="46"/>
    </row>
    <row r="90" spans="1:23">
      <c r="A90" s="46"/>
      <c r="B90" s="46"/>
      <c r="C90" s="46"/>
      <c r="D90" s="46"/>
      <c r="E90" s="46"/>
      <c r="F90" s="46"/>
      <c r="G90" s="46"/>
      <c r="H90" s="46"/>
      <c r="I90" s="46"/>
      <c r="J90" s="46"/>
      <c r="K90" s="46"/>
      <c r="L90" s="46"/>
      <c r="M90" s="46"/>
      <c r="N90" s="46"/>
      <c r="O90" s="46"/>
      <c r="P90" s="46"/>
      <c r="Q90" s="46"/>
      <c r="R90" s="46"/>
      <c r="S90" s="46"/>
      <c r="T90" s="46"/>
      <c r="U90" s="46"/>
      <c r="V90" s="46"/>
      <c r="W90" s="46"/>
    </row>
    <row r="91" spans="1:23">
      <c r="A91" s="46"/>
      <c r="B91" s="46"/>
      <c r="C91" s="46"/>
      <c r="D91" s="46"/>
      <c r="E91" s="46"/>
      <c r="F91" s="46"/>
      <c r="G91" s="46"/>
      <c r="H91" s="46"/>
      <c r="I91" s="46"/>
      <c r="J91" s="46"/>
      <c r="K91" s="46"/>
      <c r="L91" s="46"/>
      <c r="M91" s="46"/>
      <c r="N91" s="46"/>
      <c r="O91" s="46"/>
      <c r="P91" s="46"/>
      <c r="Q91" s="46"/>
      <c r="R91" s="46"/>
      <c r="S91" s="46"/>
      <c r="T91" s="46"/>
      <c r="U91" s="46"/>
      <c r="V91" s="46"/>
      <c r="W91" s="46"/>
    </row>
    <row r="92" spans="1:23">
      <c r="A92" s="46"/>
      <c r="B92" s="46"/>
      <c r="C92" s="46"/>
      <c r="D92" s="46"/>
      <c r="E92" s="46"/>
      <c r="F92" s="46"/>
      <c r="G92" s="46"/>
      <c r="H92" s="46"/>
      <c r="I92" s="46"/>
      <c r="J92" s="46"/>
      <c r="K92" s="46"/>
      <c r="L92" s="46"/>
      <c r="M92" s="46"/>
      <c r="N92" s="46"/>
      <c r="O92" s="46"/>
      <c r="P92" s="46"/>
      <c r="Q92" s="46"/>
      <c r="R92" s="46"/>
      <c r="S92" s="46"/>
      <c r="T92" s="46"/>
      <c r="U92" s="46"/>
      <c r="V92" s="46"/>
      <c r="W92" s="46"/>
    </row>
    <row r="93" spans="1:23">
      <c r="A93" s="46"/>
      <c r="B93" s="46"/>
      <c r="C93" s="46"/>
      <c r="D93" s="46"/>
      <c r="E93" s="46"/>
      <c r="F93" s="46"/>
      <c r="G93" s="46"/>
      <c r="H93" s="46"/>
      <c r="I93" s="46"/>
      <c r="J93" s="46"/>
      <c r="K93" s="46"/>
      <c r="L93" s="46"/>
      <c r="M93" s="46"/>
      <c r="N93" s="46"/>
      <c r="O93" s="46"/>
      <c r="P93" s="46"/>
      <c r="Q93" s="46"/>
      <c r="R93" s="46"/>
      <c r="S93" s="46"/>
      <c r="T93" s="46"/>
      <c r="U93" s="46"/>
      <c r="V93" s="46"/>
      <c r="W93" s="46"/>
    </row>
    <row r="94" spans="1:23">
      <c r="A94" s="46"/>
      <c r="B94" s="46"/>
      <c r="C94" s="46"/>
      <c r="D94" s="46"/>
      <c r="E94" s="46"/>
      <c r="F94" s="46"/>
      <c r="G94" s="46"/>
      <c r="H94" s="46"/>
      <c r="I94" s="46"/>
      <c r="J94" s="46"/>
      <c r="K94" s="46"/>
      <c r="L94" s="46"/>
      <c r="M94" s="46"/>
      <c r="N94" s="46"/>
      <c r="O94" s="46"/>
      <c r="P94" s="46"/>
      <c r="Q94" s="46"/>
      <c r="R94" s="46"/>
      <c r="S94" s="46"/>
      <c r="T94" s="46"/>
      <c r="U94" s="46"/>
      <c r="V94" s="46"/>
      <c r="W94" s="46"/>
    </row>
    <row r="95" spans="1:23">
      <c r="A95" s="46"/>
      <c r="B95" s="46"/>
      <c r="C95" s="46"/>
      <c r="D95" s="46"/>
      <c r="E95" s="46"/>
      <c r="F95" s="46"/>
      <c r="G95" s="46"/>
      <c r="H95" s="46"/>
      <c r="I95" s="46"/>
      <c r="J95" s="46"/>
      <c r="K95" s="46"/>
      <c r="L95" s="46"/>
      <c r="M95" s="46"/>
      <c r="N95" s="46"/>
      <c r="O95" s="46"/>
      <c r="P95" s="46"/>
      <c r="Q95" s="46"/>
      <c r="R95" s="46"/>
      <c r="S95" s="46"/>
      <c r="T95" s="46"/>
      <c r="U95" s="46"/>
      <c r="V95" s="46"/>
      <c r="W95" s="46"/>
    </row>
    <row r="96" spans="1:23">
      <c r="A96" s="46"/>
      <c r="B96" s="46"/>
      <c r="C96" s="46"/>
      <c r="D96" s="46"/>
      <c r="E96" s="46"/>
      <c r="F96" s="46"/>
      <c r="G96" s="46"/>
      <c r="H96" s="46"/>
      <c r="I96" s="46"/>
      <c r="J96" s="46"/>
      <c r="K96" s="46"/>
      <c r="L96" s="46"/>
      <c r="M96" s="46"/>
      <c r="N96" s="46"/>
      <c r="O96" s="46"/>
      <c r="P96" s="46"/>
      <c r="Q96" s="46"/>
      <c r="R96" s="46"/>
      <c r="S96" s="46"/>
      <c r="T96" s="46"/>
      <c r="U96" s="46"/>
      <c r="V96" s="46"/>
      <c r="W96" s="46"/>
    </row>
    <row r="97" spans="1:23">
      <c r="A97" s="46"/>
      <c r="B97" s="46"/>
      <c r="C97" s="46"/>
      <c r="D97" s="46"/>
      <c r="E97" s="46"/>
      <c r="F97" s="46"/>
      <c r="G97" s="46"/>
      <c r="H97" s="46"/>
      <c r="I97" s="46"/>
      <c r="J97" s="46"/>
      <c r="K97" s="46"/>
      <c r="L97" s="46"/>
      <c r="M97" s="46"/>
      <c r="N97" s="46"/>
      <c r="O97" s="46"/>
      <c r="P97" s="46"/>
      <c r="Q97" s="46"/>
      <c r="R97" s="46"/>
      <c r="S97" s="46"/>
      <c r="T97" s="46"/>
      <c r="U97" s="46"/>
      <c r="V97" s="46"/>
      <c r="W97" s="46"/>
    </row>
    <row r="98" spans="1:23">
      <c r="A98" s="46"/>
      <c r="B98" s="46"/>
      <c r="C98" s="46"/>
      <c r="D98" s="46"/>
      <c r="E98" s="46"/>
      <c r="F98" s="46"/>
      <c r="G98" s="46"/>
      <c r="H98" s="46"/>
      <c r="I98" s="46"/>
      <c r="J98" s="46"/>
      <c r="K98" s="46"/>
      <c r="L98" s="46"/>
      <c r="M98" s="46"/>
      <c r="N98" s="46"/>
      <c r="O98" s="46"/>
      <c r="P98" s="46"/>
      <c r="Q98" s="46"/>
      <c r="R98" s="46"/>
      <c r="S98" s="46"/>
      <c r="T98" s="46"/>
      <c r="U98" s="46"/>
      <c r="V98" s="46"/>
      <c r="W98" s="46"/>
    </row>
    <row r="99" spans="1:23">
      <c r="A99" s="46"/>
      <c r="B99" s="46"/>
      <c r="C99" s="46"/>
      <c r="D99" s="46"/>
      <c r="E99" s="46"/>
      <c r="F99" s="46"/>
      <c r="G99" s="46"/>
      <c r="H99" s="46"/>
      <c r="I99" s="46"/>
      <c r="J99" s="46"/>
      <c r="K99" s="46"/>
      <c r="L99" s="46"/>
      <c r="M99" s="46"/>
      <c r="N99" s="46"/>
      <c r="O99" s="46"/>
      <c r="P99" s="46"/>
      <c r="Q99" s="46"/>
      <c r="R99" s="46"/>
      <c r="S99" s="46"/>
      <c r="T99" s="46"/>
      <c r="U99" s="46"/>
      <c r="V99" s="46"/>
      <c r="W99" s="46"/>
    </row>
    <row r="100" spans="1:23">
      <c r="A100" s="46"/>
      <c r="B100" s="46"/>
      <c r="C100" s="46"/>
      <c r="D100" s="46"/>
      <c r="E100" s="46"/>
      <c r="F100" s="46"/>
      <c r="G100" s="46"/>
      <c r="H100" s="46"/>
      <c r="I100" s="46"/>
      <c r="J100" s="46"/>
      <c r="K100" s="46"/>
      <c r="L100" s="46"/>
      <c r="M100" s="46"/>
      <c r="N100" s="46"/>
      <c r="O100" s="46"/>
      <c r="P100" s="46"/>
      <c r="Q100" s="46"/>
      <c r="R100" s="46"/>
      <c r="S100" s="46"/>
      <c r="T100" s="46"/>
      <c r="U100" s="46"/>
      <c r="V100" s="46"/>
      <c r="W100" s="46"/>
    </row>
    <row r="101" spans="1:23">
      <c r="A101" s="46"/>
      <c r="B101" s="46"/>
      <c r="C101" s="46"/>
      <c r="D101" s="46"/>
      <c r="E101" s="46"/>
      <c r="F101" s="46"/>
      <c r="G101" s="46"/>
      <c r="H101" s="46"/>
      <c r="I101" s="46"/>
      <c r="J101" s="46"/>
      <c r="K101" s="46"/>
      <c r="L101" s="46"/>
      <c r="M101" s="46"/>
      <c r="N101" s="46"/>
      <c r="O101" s="46"/>
      <c r="P101" s="46"/>
      <c r="Q101" s="46"/>
      <c r="R101" s="46"/>
      <c r="S101" s="46"/>
      <c r="T101" s="46"/>
      <c r="U101" s="46"/>
      <c r="V101" s="46"/>
      <c r="W101" s="46"/>
    </row>
    <row r="102" spans="1:23">
      <c r="A102" s="46"/>
      <c r="B102" s="46"/>
      <c r="C102" s="46"/>
      <c r="D102" s="46"/>
      <c r="E102" s="46"/>
      <c r="F102" s="46"/>
      <c r="G102" s="46"/>
      <c r="H102" s="46"/>
      <c r="I102" s="46"/>
      <c r="J102" s="46"/>
      <c r="K102" s="46"/>
      <c r="L102" s="46"/>
      <c r="M102" s="46"/>
      <c r="N102" s="46"/>
      <c r="O102" s="46"/>
      <c r="P102" s="46"/>
      <c r="Q102" s="46"/>
      <c r="R102" s="46"/>
      <c r="S102" s="46"/>
      <c r="T102" s="46"/>
      <c r="U102" s="46"/>
      <c r="V102" s="46"/>
      <c r="W102" s="46"/>
    </row>
    <row r="103" spans="1:23">
      <c r="A103" s="46"/>
      <c r="B103" s="46"/>
      <c r="C103" s="46"/>
      <c r="D103" s="46"/>
      <c r="E103" s="46"/>
      <c r="F103" s="46"/>
      <c r="G103" s="46"/>
      <c r="H103" s="46"/>
      <c r="I103" s="46"/>
      <c r="J103" s="46"/>
      <c r="K103" s="46"/>
      <c r="L103" s="46"/>
      <c r="M103" s="46"/>
      <c r="N103" s="46"/>
      <c r="O103" s="46"/>
      <c r="P103" s="46"/>
      <c r="Q103" s="46"/>
      <c r="R103" s="46"/>
      <c r="S103" s="46"/>
      <c r="T103" s="46"/>
      <c r="U103" s="46"/>
      <c r="V103" s="46"/>
      <c r="W103" s="46"/>
    </row>
    <row r="104" spans="1:23" s="40" customFormat="1">
      <c r="A104" s="46"/>
      <c r="B104" s="46"/>
      <c r="C104" s="46"/>
      <c r="D104" s="46"/>
      <c r="E104" s="46"/>
      <c r="F104" s="46"/>
      <c r="G104" s="46"/>
      <c r="H104" s="46"/>
      <c r="I104" s="46"/>
      <c r="J104" s="46"/>
      <c r="K104" s="46"/>
      <c r="L104" s="46"/>
      <c r="M104" s="46"/>
      <c r="N104" s="46"/>
      <c r="O104" s="46"/>
      <c r="P104" s="46"/>
      <c r="Q104" s="46"/>
      <c r="R104" s="46"/>
      <c r="S104" s="46"/>
      <c r="T104" s="46"/>
      <c r="U104" s="46"/>
      <c r="V104" s="46"/>
      <c r="W104" s="46"/>
    </row>
    <row r="105" spans="1:23" s="40" customFormat="1">
      <c r="A105" s="46"/>
      <c r="B105" s="46"/>
      <c r="C105" s="46"/>
      <c r="D105" s="46"/>
      <c r="E105" s="46"/>
      <c r="F105" s="46"/>
      <c r="G105" s="46"/>
      <c r="H105" s="46"/>
      <c r="I105" s="46"/>
      <c r="J105" s="46"/>
      <c r="K105" s="46"/>
      <c r="L105" s="46"/>
      <c r="M105" s="46"/>
      <c r="N105" s="46"/>
      <c r="O105" s="46"/>
      <c r="P105" s="46"/>
      <c r="Q105" s="46"/>
      <c r="R105" s="46"/>
      <c r="S105" s="46"/>
      <c r="T105" s="46"/>
      <c r="U105" s="46"/>
      <c r="V105" s="46"/>
      <c r="W105" s="46"/>
    </row>
    <row r="106" spans="1:23">
      <c r="A106" s="46"/>
      <c r="B106" s="46"/>
      <c r="C106" s="46"/>
      <c r="D106" s="46"/>
      <c r="E106" s="46"/>
      <c r="F106" s="46"/>
      <c r="G106" s="46"/>
      <c r="H106" s="46"/>
      <c r="I106" s="46"/>
      <c r="J106" s="46"/>
      <c r="K106" s="46"/>
      <c r="L106" s="46"/>
      <c r="M106" s="46"/>
      <c r="N106" s="46"/>
      <c r="O106" s="46"/>
      <c r="P106" s="46"/>
      <c r="Q106" s="46"/>
      <c r="R106" s="46"/>
      <c r="S106" s="46"/>
      <c r="T106" s="46"/>
      <c r="U106" s="46"/>
      <c r="V106" s="46"/>
      <c r="W106" s="46"/>
    </row>
    <row r="107" spans="1:23" s="40" customFormat="1">
      <c r="A107" s="46"/>
      <c r="B107" s="46"/>
      <c r="C107" s="46"/>
      <c r="D107" s="46"/>
      <c r="E107" s="46"/>
      <c r="F107" s="46"/>
      <c r="G107" s="46"/>
      <c r="H107" s="46"/>
      <c r="I107" s="46"/>
      <c r="J107" s="46"/>
      <c r="K107" s="46"/>
      <c r="L107" s="46"/>
      <c r="M107" s="46"/>
      <c r="N107" s="46"/>
      <c r="O107" s="46"/>
      <c r="P107" s="46"/>
      <c r="Q107" s="46"/>
      <c r="R107" s="46"/>
      <c r="S107" s="46"/>
      <c r="T107" s="46"/>
      <c r="U107" s="46"/>
      <c r="V107" s="46"/>
      <c r="W107" s="46"/>
    </row>
    <row r="108" spans="1:23">
      <c r="A108" s="46"/>
      <c r="B108" s="168" t="s">
        <v>589</v>
      </c>
      <c r="C108" s="46"/>
      <c r="D108" s="46"/>
      <c r="E108" s="46"/>
      <c r="F108" s="46"/>
      <c r="G108" s="46"/>
      <c r="H108" s="46"/>
      <c r="I108" s="46"/>
      <c r="J108" s="46"/>
      <c r="K108" s="46"/>
      <c r="L108" s="46"/>
      <c r="M108" s="46"/>
      <c r="N108" s="46"/>
      <c r="O108" s="46"/>
      <c r="P108" s="46"/>
      <c r="Q108" s="46"/>
      <c r="R108" s="46"/>
      <c r="S108" s="46"/>
      <c r="T108" s="46"/>
      <c r="U108" s="46"/>
      <c r="V108" s="46"/>
      <c r="W108" s="46"/>
    </row>
    <row r="109" spans="1:23" ht="16.5">
      <c r="A109" s="46"/>
      <c r="B109" s="46"/>
      <c r="C109" s="168" t="s">
        <v>447</v>
      </c>
      <c r="D109" s="46"/>
      <c r="E109" s="46"/>
      <c r="F109" s="46"/>
      <c r="G109" s="46"/>
      <c r="H109" s="46"/>
      <c r="I109" s="46"/>
      <c r="J109" s="46"/>
      <c r="K109" s="46"/>
      <c r="L109" s="46"/>
      <c r="M109" s="46"/>
      <c r="N109" s="46"/>
      <c r="O109" s="46"/>
      <c r="P109" s="46"/>
      <c r="Q109" s="46"/>
      <c r="R109" s="46"/>
      <c r="S109" s="46"/>
      <c r="T109" s="46"/>
      <c r="U109" s="46"/>
      <c r="V109" s="46"/>
      <c r="W109" s="46"/>
    </row>
    <row r="110" spans="1:23">
      <c r="A110" s="46"/>
      <c r="B110" s="46"/>
      <c r="C110" s="46" t="s">
        <v>448</v>
      </c>
      <c r="D110" s="46"/>
      <c r="E110" s="46"/>
      <c r="F110" s="46"/>
      <c r="G110" s="46"/>
      <c r="H110" s="46"/>
      <c r="I110" s="46"/>
      <c r="J110" s="46"/>
      <c r="K110" s="46"/>
      <c r="L110" s="46"/>
      <c r="M110" s="46"/>
      <c r="N110" s="46"/>
      <c r="O110" s="46"/>
      <c r="P110" s="46"/>
      <c r="Q110" s="46"/>
      <c r="R110" s="46"/>
      <c r="S110" s="46"/>
      <c r="T110" s="46"/>
      <c r="U110" s="46"/>
      <c r="V110" s="46"/>
      <c r="W110" s="46"/>
    </row>
    <row r="111" spans="1:23" s="40" customFormat="1">
      <c r="A111" s="46"/>
      <c r="B111" s="46"/>
      <c r="C111" s="46"/>
      <c r="D111" s="46"/>
      <c r="E111" s="46"/>
      <c r="F111" s="46"/>
      <c r="G111" s="46"/>
      <c r="H111" s="46"/>
      <c r="I111" s="46"/>
      <c r="J111" s="46"/>
      <c r="K111" s="46"/>
      <c r="L111" s="46"/>
      <c r="M111" s="46"/>
      <c r="N111" s="46"/>
      <c r="O111" s="46"/>
      <c r="P111" s="46"/>
      <c r="Q111" s="46"/>
      <c r="R111" s="46"/>
      <c r="S111" s="46"/>
      <c r="T111" s="46"/>
      <c r="U111" s="46"/>
      <c r="V111" s="46"/>
      <c r="W111" s="46"/>
    </row>
    <row r="112" spans="1:23" ht="16.5">
      <c r="A112" s="46"/>
      <c r="B112" s="46"/>
      <c r="C112" s="442"/>
      <c r="D112" s="443"/>
      <c r="E112" s="448"/>
      <c r="F112" s="448" t="s">
        <v>449</v>
      </c>
      <c r="G112" s="448"/>
      <c r="H112" s="448"/>
      <c r="I112" s="445"/>
      <c r="J112" s="46"/>
      <c r="K112" s="117"/>
      <c r="L112" s="46"/>
      <c r="M112" s="46"/>
      <c r="N112" s="46"/>
      <c r="O112" s="46"/>
      <c r="P112" s="46"/>
      <c r="Q112" s="46"/>
      <c r="R112" s="46"/>
      <c r="S112" s="46"/>
      <c r="T112" s="46"/>
      <c r="U112" s="46"/>
      <c r="V112" s="46"/>
      <c r="W112" s="46"/>
    </row>
    <row r="113" spans="1:23">
      <c r="A113" s="46"/>
      <c r="B113" s="46"/>
      <c r="C113" s="379" t="s">
        <v>35</v>
      </c>
      <c r="D113" s="460"/>
      <c r="E113" s="449"/>
      <c r="F113" s="449" t="s">
        <v>450</v>
      </c>
      <c r="G113" s="449"/>
      <c r="H113" s="449"/>
      <c r="I113" s="447"/>
      <c r="J113" s="46"/>
      <c r="K113" s="117"/>
      <c r="L113" s="46"/>
      <c r="M113" s="46"/>
      <c r="N113" s="46"/>
      <c r="O113" s="46"/>
      <c r="P113" s="46"/>
      <c r="Q113" s="46"/>
      <c r="R113" s="46"/>
      <c r="S113" s="46"/>
      <c r="T113" s="46"/>
      <c r="U113" s="46"/>
      <c r="V113" s="46"/>
      <c r="W113" s="46"/>
    </row>
    <row r="114" spans="1:23">
      <c r="A114" s="46"/>
      <c r="B114" s="46"/>
      <c r="C114" s="408"/>
      <c r="D114" s="240">
        <v>80</v>
      </c>
      <c r="E114" s="357">
        <v>150</v>
      </c>
      <c r="F114" s="357">
        <v>200</v>
      </c>
      <c r="G114" s="357">
        <v>250</v>
      </c>
      <c r="H114" s="461">
        <v>300</v>
      </c>
      <c r="I114" s="5">
        <v>350</v>
      </c>
      <c r="J114" s="46"/>
      <c r="K114" s="117"/>
      <c r="L114" s="46"/>
      <c r="M114" s="46"/>
      <c r="N114" s="46"/>
      <c r="O114" s="46"/>
      <c r="P114" s="46"/>
      <c r="Q114" s="46"/>
      <c r="R114" s="46"/>
      <c r="S114" s="46"/>
      <c r="T114" s="46"/>
      <c r="U114" s="46"/>
      <c r="V114" s="46"/>
      <c r="W114" s="46"/>
    </row>
    <row r="115" spans="1:23">
      <c r="A115" s="46"/>
      <c r="B115" s="46"/>
      <c r="C115" s="232" t="str">
        <f>C18</f>
        <v>Korean HEMU-430X</v>
      </c>
      <c r="D115" s="241">
        <f>'Passby Data Set 1 Output'!H169</f>
        <v>78.912575866435986</v>
      </c>
      <c r="E115" s="241">
        <f>'Passby Data Set 1 Output'!H170</f>
        <v>85.239000824656884</v>
      </c>
      <c r="F115" s="241">
        <f>'Passby Data Set 1 Output'!H171</f>
        <v>88.593051159117252</v>
      </c>
      <c r="G115" s="241">
        <f>'Passby Data Set 1 Output'!H172</f>
        <v>91.589301701119609</v>
      </c>
      <c r="H115" s="241">
        <f>'Passby Data Set 1 Output'!H173</f>
        <v>94.415606269903421</v>
      </c>
      <c r="I115" s="241">
        <f>'Passby Data Set 1 Output'!H174</f>
        <v>97.163303481937476</v>
      </c>
      <c r="J115" s="46"/>
      <c r="K115" s="117"/>
      <c r="L115" s="46"/>
      <c r="M115" s="46"/>
      <c r="N115" s="46"/>
      <c r="O115" s="46"/>
      <c r="P115" s="46"/>
      <c r="Q115" s="46"/>
      <c r="R115" s="46"/>
      <c r="S115" s="46"/>
      <c r="T115" s="46"/>
      <c r="U115" s="46"/>
      <c r="V115" s="46"/>
      <c r="W115" s="46"/>
    </row>
    <row r="116" spans="1:23">
      <c r="A116" s="46"/>
      <c r="B116" s="46"/>
      <c r="C116" s="232" t="str">
        <f>C83</f>
        <v>Thalys PBKA</v>
      </c>
      <c r="D116" s="180">
        <f>'Passby Data Set 2 Output'!H176</f>
        <v>71.112299957734038</v>
      </c>
      <c r="E116" s="180">
        <f>'Passby Data Set 2 Output'!H177</f>
        <v>78.010836142131922</v>
      </c>
      <c r="F116" s="180">
        <f>'Passby Data Set 2 Output'!H178</f>
        <v>81.773537352432982</v>
      </c>
      <c r="G116" s="180">
        <f>'Passby Data Set 2 Output'!H179</f>
        <v>85.178438770276031</v>
      </c>
      <c r="H116" s="180">
        <f>'Passby Data Set 2 Output'!H180</f>
        <v>88.413394214900563</v>
      </c>
      <c r="I116" s="180">
        <f>'Passby Data Set 2 Output'!H181</f>
        <v>91.56974230277531</v>
      </c>
      <c r="J116" s="46"/>
      <c r="K116" s="117"/>
      <c r="L116" s="46"/>
      <c r="M116" s="46"/>
      <c r="N116" s="46"/>
      <c r="O116" s="46"/>
      <c r="P116" s="46"/>
      <c r="Q116" s="46"/>
      <c r="R116" s="46"/>
      <c r="S116" s="46"/>
      <c r="T116" s="46"/>
      <c r="U116" s="46"/>
      <c r="V116" s="46"/>
      <c r="W116" s="46"/>
    </row>
    <row r="117" spans="1:23">
      <c r="A117" s="46"/>
      <c r="B117" s="46"/>
      <c r="C117" s="232" t="s">
        <v>451</v>
      </c>
      <c r="D117" s="180">
        <f>'Passby Data Set 5 Output'!H172</f>
        <v>66.563247430655323</v>
      </c>
      <c r="E117" s="180">
        <f>'Passby Data Set 5 Output'!H173</f>
        <v>73.629444203360535</v>
      </c>
      <c r="F117" s="180">
        <f>'Passby Data Set 5 Output'!H174</f>
        <v>77.51190297673827</v>
      </c>
      <c r="G117" s="180">
        <f>'Passby Data Set 5 Output'!H175</f>
        <v>81.03656195765798</v>
      </c>
      <c r="H117" s="180">
        <f>'Passby Data Set 5 Output'!H176</f>
        <v>84.391274965359173</v>
      </c>
      <c r="I117" s="180">
        <f>'Passby Data Set 5 Output'!H177</f>
        <v>87.667380616310595</v>
      </c>
      <c r="J117" s="46"/>
      <c r="K117" s="117"/>
      <c r="L117" s="46"/>
      <c r="M117" s="46"/>
      <c r="N117" s="46"/>
      <c r="O117" s="46"/>
      <c r="P117" s="46"/>
      <c r="Q117" s="46"/>
      <c r="R117" s="46"/>
      <c r="S117" s="46"/>
      <c r="T117" s="46"/>
      <c r="U117" s="46"/>
      <c r="V117" s="46"/>
      <c r="W117" s="46"/>
    </row>
    <row r="118" spans="1:23">
      <c r="A118" s="46"/>
      <c r="B118" s="46"/>
      <c r="C118" s="46"/>
      <c r="D118" s="46"/>
      <c r="E118" s="46"/>
      <c r="F118" s="46"/>
      <c r="G118" s="46"/>
      <c r="H118" s="46"/>
      <c r="I118" s="46"/>
      <c r="J118" s="46"/>
      <c r="K118" s="46"/>
      <c r="L118" s="46"/>
      <c r="M118" s="46"/>
      <c r="N118" s="46"/>
      <c r="O118" s="46"/>
      <c r="P118" s="46"/>
      <c r="Q118" s="46"/>
      <c r="R118" s="46"/>
      <c r="S118" s="46"/>
      <c r="T118" s="46"/>
      <c r="U118" s="46"/>
      <c r="V118" s="46"/>
      <c r="W118" s="46"/>
    </row>
    <row r="119" spans="1:23">
      <c r="A119" s="46"/>
      <c r="B119" s="46"/>
      <c r="C119" s="46"/>
      <c r="D119" s="46"/>
      <c r="E119" s="46"/>
      <c r="F119" s="46"/>
      <c r="G119" s="46"/>
      <c r="H119" s="46"/>
      <c r="I119" s="46"/>
      <c r="J119" s="46"/>
      <c r="K119" s="46"/>
      <c r="L119" s="46"/>
      <c r="M119" s="46"/>
      <c r="N119" s="46"/>
      <c r="O119" s="46"/>
      <c r="P119" s="46"/>
      <c r="Q119" s="46"/>
      <c r="R119" s="46"/>
      <c r="S119" s="46"/>
      <c r="T119" s="46"/>
      <c r="U119" s="46"/>
      <c r="V119" s="46"/>
      <c r="W119" s="46"/>
    </row>
    <row r="120" spans="1:23">
      <c r="A120" s="46"/>
      <c r="B120" s="46"/>
      <c r="C120" s="46"/>
      <c r="D120" s="46"/>
      <c r="E120" s="46"/>
      <c r="F120" s="46"/>
      <c r="G120" s="46"/>
      <c r="H120" s="46"/>
      <c r="I120" s="46"/>
      <c r="J120" s="46"/>
      <c r="K120" s="46"/>
      <c r="L120" s="46"/>
      <c r="M120" s="46"/>
      <c r="N120" s="46"/>
      <c r="O120" s="46"/>
      <c r="P120" s="46"/>
      <c r="Q120" s="46"/>
      <c r="R120" s="46"/>
      <c r="S120" s="46"/>
      <c r="T120" s="46"/>
      <c r="U120" s="46"/>
      <c r="V120" s="46"/>
      <c r="W120" s="46"/>
    </row>
    <row r="121" spans="1:23">
      <c r="A121" s="46"/>
      <c r="B121" s="46"/>
      <c r="C121" s="46"/>
      <c r="D121" s="46"/>
      <c r="E121" s="46"/>
      <c r="F121" s="46"/>
      <c r="G121" s="46"/>
      <c r="H121" s="46"/>
      <c r="I121" s="46"/>
      <c r="J121" s="46"/>
      <c r="K121" s="46"/>
      <c r="L121" s="46"/>
      <c r="M121" s="46"/>
      <c r="N121" s="46"/>
      <c r="O121" s="46"/>
      <c r="P121" s="46"/>
      <c r="Q121" s="46"/>
      <c r="R121" s="46"/>
      <c r="S121" s="46"/>
      <c r="T121" s="46"/>
      <c r="U121" s="46"/>
      <c r="V121" s="46"/>
      <c r="W121" s="46"/>
    </row>
    <row r="122" spans="1:23">
      <c r="A122" s="46"/>
      <c r="B122" s="46"/>
      <c r="C122" s="46"/>
      <c r="D122" s="46"/>
      <c r="E122" s="46"/>
      <c r="F122" s="46"/>
      <c r="G122" s="46"/>
      <c r="H122" s="46"/>
      <c r="I122" s="46"/>
      <c r="J122" s="46"/>
      <c r="K122" s="46"/>
      <c r="L122" s="46"/>
      <c r="M122" s="46"/>
      <c r="N122" s="46"/>
      <c r="O122" s="46"/>
      <c r="P122" s="46"/>
      <c r="Q122" s="46"/>
      <c r="R122" s="46"/>
      <c r="S122" s="46"/>
      <c r="T122" s="46"/>
      <c r="U122" s="46"/>
      <c r="V122" s="46"/>
      <c r="W122" s="46"/>
    </row>
    <row r="123" spans="1:23">
      <c r="A123" s="46"/>
      <c r="B123" s="46"/>
      <c r="C123" s="46"/>
      <c r="D123" s="46"/>
      <c r="E123" s="46"/>
      <c r="F123" s="46"/>
      <c r="G123" s="46"/>
      <c r="H123" s="46"/>
      <c r="I123" s="46"/>
      <c r="J123" s="46"/>
      <c r="K123" s="46"/>
      <c r="L123" s="46"/>
      <c r="M123" s="46"/>
      <c r="N123" s="46"/>
      <c r="O123" s="46"/>
      <c r="P123" s="46"/>
      <c r="Q123" s="46"/>
      <c r="R123" s="46"/>
      <c r="S123" s="46"/>
      <c r="T123" s="46"/>
      <c r="U123" s="46"/>
      <c r="V123" s="46"/>
      <c r="W123" s="46"/>
    </row>
    <row r="124" spans="1:23">
      <c r="A124" s="46"/>
      <c r="B124" s="46"/>
      <c r="C124" s="46"/>
      <c r="D124" s="46"/>
      <c r="E124" s="46"/>
      <c r="F124" s="46"/>
      <c r="G124" s="46"/>
      <c r="H124" s="46"/>
      <c r="I124" s="46"/>
      <c r="J124" s="46"/>
      <c r="K124" s="46"/>
      <c r="L124" s="46"/>
      <c r="M124" s="46"/>
      <c r="N124" s="46"/>
      <c r="O124" s="46"/>
      <c r="P124" s="46"/>
      <c r="Q124" s="46"/>
      <c r="R124" s="46"/>
      <c r="S124" s="46"/>
      <c r="T124" s="46"/>
      <c r="U124" s="46"/>
      <c r="V124" s="46"/>
      <c r="W124" s="46"/>
    </row>
    <row r="125" spans="1:23">
      <c r="A125" s="46"/>
      <c r="B125" s="46"/>
      <c r="C125" s="46"/>
      <c r="D125" s="46"/>
      <c r="E125" s="46"/>
      <c r="F125" s="46"/>
      <c r="G125" s="46"/>
      <c r="H125" s="46"/>
      <c r="I125" s="46"/>
      <c r="J125" s="46"/>
      <c r="K125" s="46"/>
      <c r="L125" s="46"/>
      <c r="M125" s="46"/>
      <c r="N125" s="46"/>
      <c r="O125" s="46"/>
      <c r="P125" s="46"/>
      <c r="Q125" s="46"/>
      <c r="R125" s="46"/>
      <c r="S125" s="46"/>
      <c r="T125" s="46"/>
      <c r="U125" s="46"/>
      <c r="V125" s="46"/>
      <c r="W125" s="46"/>
    </row>
    <row r="126" spans="1:23">
      <c r="A126" s="46"/>
      <c r="B126" s="46"/>
      <c r="C126" s="46"/>
      <c r="D126" s="46"/>
      <c r="E126" s="46"/>
      <c r="F126" s="46"/>
      <c r="G126" s="46"/>
      <c r="H126" s="46"/>
      <c r="I126" s="46"/>
      <c r="J126" s="46"/>
      <c r="K126" s="46"/>
      <c r="L126" s="46"/>
      <c r="M126" s="46"/>
      <c r="N126" s="46"/>
      <c r="O126" s="46"/>
      <c r="P126" s="46"/>
      <c r="Q126" s="46"/>
      <c r="R126" s="46"/>
      <c r="S126" s="46"/>
      <c r="T126" s="46"/>
      <c r="U126" s="46"/>
      <c r="V126" s="46"/>
      <c r="W126" s="46"/>
    </row>
    <row r="127" spans="1:23">
      <c r="A127" s="46"/>
      <c r="B127" s="46"/>
      <c r="C127" s="46"/>
      <c r="D127" s="46"/>
      <c r="E127" s="46"/>
      <c r="F127" s="46"/>
      <c r="G127" s="46"/>
      <c r="H127" s="46"/>
      <c r="I127" s="46"/>
      <c r="J127" s="46"/>
      <c r="K127" s="46"/>
      <c r="L127" s="46"/>
      <c r="M127" s="46"/>
      <c r="N127" s="46"/>
      <c r="O127" s="46"/>
      <c r="P127" s="46"/>
      <c r="Q127" s="46"/>
      <c r="R127" s="46"/>
      <c r="S127" s="46"/>
      <c r="T127" s="46"/>
      <c r="U127" s="46"/>
      <c r="V127" s="46"/>
      <c r="W127" s="46"/>
    </row>
    <row r="128" spans="1:23">
      <c r="A128" s="46"/>
      <c r="B128" s="46"/>
      <c r="C128" s="46"/>
      <c r="D128" s="46"/>
      <c r="E128" s="46"/>
      <c r="F128" s="46"/>
      <c r="G128" s="46"/>
      <c r="H128" s="46"/>
      <c r="I128" s="46"/>
      <c r="J128" s="46"/>
      <c r="K128" s="46"/>
      <c r="L128" s="46"/>
      <c r="M128" s="46"/>
      <c r="N128" s="46"/>
      <c r="O128" s="46"/>
      <c r="P128" s="46"/>
      <c r="Q128" s="46"/>
      <c r="R128" s="46"/>
      <c r="S128" s="46"/>
      <c r="T128" s="46"/>
      <c r="U128" s="46"/>
      <c r="V128" s="46"/>
      <c r="W128" s="46"/>
    </row>
    <row r="129" spans="1:23">
      <c r="A129" s="46"/>
      <c r="B129" s="46"/>
      <c r="C129" s="46"/>
      <c r="D129" s="46"/>
      <c r="E129" s="46"/>
      <c r="F129" s="46"/>
      <c r="G129" s="46"/>
      <c r="H129" s="46"/>
      <c r="I129" s="46"/>
      <c r="J129" s="46"/>
      <c r="K129" s="46"/>
      <c r="L129" s="46"/>
      <c r="M129" s="46"/>
      <c r="N129" s="46"/>
      <c r="O129" s="46"/>
      <c r="P129" s="46"/>
      <c r="Q129" s="46"/>
      <c r="R129" s="46"/>
      <c r="S129" s="46"/>
      <c r="T129" s="46"/>
      <c r="U129" s="46"/>
      <c r="V129" s="46"/>
      <c r="W129" s="46"/>
    </row>
    <row r="130" spans="1:23">
      <c r="A130" s="46"/>
      <c r="B130" s="46"/>
      <c r="C130" s="46"/>
      <c r="D130" s="46"/>
      <c r="E130" s="46"/>
      <c r="F130" s="46"/>
      <c r="G130" s="46"/>
      <c r="H130" s="46"/>
      <c r="I130" s="46"/>
      <c r="J130" s="46"/>
      <c r="K130" s="46"/>
      <c r="L130" s="46"/>
      <c r="M130" s="46"/>
      <c r="N130" s="46"/>
      <c r="O130" s="46"/>
      <c r="P130" s="46"/>
      <c r="Q130" s="46"/>
      <c r="R130" s="46"/>
      <c r="S130" s="46"/>
      <c r="T130" s="46"/>
      <c r="U130" s="46"/>
      <c r="V130" s="46"/>
      <c r="W130" s="46"/>
    </row>
    <row r="131" spans="1:23">
      <c r="A131" s="46"/>
      <c r="B131" s="46"/>
      <c r="C131" s="46"/>
      <c r="D131" s="46"/>
      <c r="E131" s="46"/>
      <c r="F131" s="46"/>
      <c r="G131" s="46"/>
      <c r="H131" s="46"/>
      <c r="I131" s="46"/>
      <c r="J131" s="46"/>
      <c r="K131" s="46"/>
      <c r="L131" s="46"/>
      <c r="M131" s="46"/>
      <c r="N131" s="46"/>
      <c r="O131" s="46"/>
      <c r="P131" s="46"/>
      <c r="Q131" s="46"/>
      <c r="R131" s="46"/>
      <c r="S131" s="46"/>
      <c r="T131" s="46"/>
      <c r="U131" s="46"/>
      <c r="V131" s="46"/>
      <c r="W131" s="46"/>
    </row>
    <row r="132" spans="1:23">
      <c r="A132" s="46"/>
      <c r="B132" s="46"/>
      <c r="C132" s="46"/>
      <c r="D132" s="46"/>
      <c r="E132" s="46"/>
      <c r="F132" s="46"/>
      <c r="G132" s="46"/>
      <c r="H132" s="46"/>
      <c r="I132" s="46"/>
      <c r="J132" s="46"/>
      <c r="K132" s="46"/>
      <c r="L132" s="46"/>
      <c r="M132" s="46"/>
      <c r="N132" s="46"/>
      <c r="O132" s="46"/>
      <c r="P132" s="46"/>
      <c r="Q132" s="46"/>
      <c r="R132" s="46"/>
      <c r="S132" s="46"/>
      <c r="T132" s="46"/>
      <c r="U132" s="46"/>
      <c r="V132" s="46"/>
      <c r="W132" s="46"/>
    </row>
    <row r="133" spans="1:23">
      <c r="A133" s="46"/>
      <c r="B133" s="46"/>
      <c r="C133" s="46"/>
      <c r="D133" s="46"/>
      <c r="E133" s="46"/>
      <c r="F133" s="46"/>
      <c r="G133" s="46"/>
      <c r="H133" s="46"/>
      <c r="I133" s="46"/>
      <c r="J133" s="46"/>
      <c r="K133" s="46"/>
      <c r="L133" s="46"/>
      <c r="M133" s="46"/>
      <c r="N133" s="46"/>
      <c r="O133" s="46"/>
      <c r="P133" s="46"/>
      <c r="Q133" s="46"/>
      <c r="R133" s="46"/>
      <c r="S133" s="46"/>
      <c r="T133" s="46"/>
      <c r="U133" s="46"/>
      <c r="V133" s="46"/>
      <c r="W133" s="46"/>
    </row>
    <row r="134" spans="1:23">
      <c r="A134" s="46"/>
      <c r="B134" s="46"/>
      <c r="C134" s="46"/>
      <c r="D134" s="46"/>
      <c r="E134" s="46"/>
      <c r="F134" s="46"/>
      <c r="G134" s="46"/>
      <c r="H134" s="46"/>
      <c r="I134" s="46"/>
      <c r="J134" s="46"/>
      <c r="K134" s="46"/>
      <c r="L134" s="46" t="s">
        <v>502</v>
      </c>
      <c r="M134" s="46"/>
      <c r="N134" s="46"/>
      <c r="O134" s="46"/>
      <c r="P134" s="46"/>
      <c r="Q134" s="46"/>
      <c r="R134" s="46"/>
      <c r="S134" s="46"/>
      <c r="T134" s="46"/>
      <c r="U134" s="46"/>
      <c r="V134" s="46"/>
      <c r="W134" s="46"/>
    </row>
    <row r="135" spans="1:23">
      <c r="A135" s="46"/>
      <c r="B135" s="46"/>
      <c r="C135" s="46"/>
      <c r="D135" s="46"/>
      <c r="E135" s="46"/>
      <c r="F135" s="46"/>
      <c r="G135" s="46"/>
      <c r="H135" s="46"/>
      <c r="I135" s="46"/>
      <c r="J135" s="46"/>
      <c r="K135" s="46"/>
      <c r="L135" s="46"/>
      <c r="M135" s="46"/>
      <c r="N135" s="46"/>
      <c r="O135" s="46"/>
      <c r="P135" s="46"/>
      <c r="Q135" s="46"/>
      <c r="R135" s="46"/>
      <c r="S135" s="46"/>
      <c r="T135" s="46"/>
      <c r="U135" s="46"/>
      <c r="V135" s="46"/>
      <c r="W135" s="46"/>
    </row>
    <row r="136" spans="1:23" s="40" customFormat="1">
      <c r="A136" s="46"/>
      <c r="B136" s="46"/>
      <c r="C136" s="168" t="s">
        <v>501</v>
      </c>
      <c r="D136" s="46"/>
      <c r="E136" s="46"/>
      <c r="F136" s="46" t="s">
        <v>590</v>
      </c>
      <c r="G136" s="46"/>
      <c r="H136" s="46"/>
      <c r="I136" s="46"/>
      <c r="J136" s="46"/>
      <c r="K136" s="46"/>
      <c r="L136" s="46"/>
      <c r="M136" s="46"/>
      <c r="N136" s="46"/>
      <c r="O136" s="46"/>
      <c r="P136" s="46"/>
      <c r="Q136" s="46"/>
      <c r="R136" s="46"/>
      <c r="S136" s="46"/>
      <c r="T136" s="46"/>
      <c r="U136" s="46"/>
      <c r="V136" s="46"/>
      <c r="W136" s="46"/>
    </row>
    <row r="137" spans="1:23" s="40" customFormat="1">
      <c r="A137" s="46"/>
      <c r="B137" s="46"/>
      <c r="C137" s="46"/>
      <c r="D137" s="46"/>
      <c r="E137" s="46"/>
      <c r="F137" s="46"/>
      <c r="G137" s="46"/>
      <c r="H137" s="46"/>
      <c r="I137" s="46"/>
      <c r="J137" s="46"/>
      <c r="K137" s="46"/>
      <c r="L137" s="46"/>
      <c r="M137" s="46"/>
      <c r="N137" s="46"/>
      <c r="O137" s="46"/>
      <c r="P137" s="46"/>
      <c r="Q137" s="46"/>
      <c r="R137" s="46"/>
      <c r="S137" s="46"/>
      <c r="T137" s="46"/>
      <c r="U137" s="46"/>
      <c r="V137" s="46"/>
      <c r="W137" s="46"/>
    </row>
    <row r="138" spans="1:23" s="40" customFormat="1" ht="16.5">
      <c r="A138" s="46"/>
      <c r="B138" s="46"/>
      <c r="C138" s="88" t="s">
        <v>488</v>
      </c>
      <c r="D138" s="57" t="s">
        <v>487</v>
      </c>
      <c r="E138" s="88"/>
      <c r="F138" s="46"/>
      <c r="G138" s="46"/>
      <c r="H138" s="46"/>
      <c r="I138" s="46"/>
      <c r="J138" s="46"/>
      <c r="K138" s="46"/>
      <c r="L138" s="46"/>
      <c r="M138" s="46"/>
      <c r="N138" s="46"/>
      <c r="O138" s="46"/>
      <c r="P138" s="46"/>
      <c r="Q138" s="46"/>
      <c r="R138" s="46"/>
      <c r="S138" s="46"/>
      <c r="T138" s="46"/>
      <c r="U138" s="46"/>
      <c r="V138" s="46"/>
      <c r="W138" s="46"/>
    </row>
    <row r="139" spans="1:23">
      <c r="A139" s="46"/>
      <c r="B139" s="46"/>
      <c r="C139" s="82"/>
      <c r="D139" s="88"/>
      <c r="E139" s="88"/>
      <c r="F139" s="46"/>
      <c r="G139" s="46"/>
      <c r="H139" s="46"/>
      <c r="I139" s="46"/>
      <c r="J139" s="46"/>
      <c r="K139" s="46"/>
      <c r="L139" s="46"/>
      <c r="M139" s="46"/>
      <c r="N139" s="46"/>
      <c r="O139" s="46"/>
      <c r="P139" s="46"/>
      <c r="Q139" s="46"/>
      <c r="R139" s="46"/>
      <c r="S139" s="46"/>
      <c r="T139" s="46"/>
      <c r="U139" s="46"/>
      <c r="V139" s="46"/>
      <c r="W139" s="46"/>
    </row>
    <row r="140" spans="1:23">
      <c r="A140" s="46"/>
      <c r="B140" s="46"/>
      <c r="C140" s="46"/>
      <c r="D140" s="46"/>
      <c r="E140" s="46"/>
      <c r="F140" s="46"/>
      <c r="G140" s="46"/>
      <c r="H140" s="46"/>
      <c r="I140" s="46"/>
      <c r="J140" s="46"/>
      <c r="K140" s="46"/>
      <c r="L140" s="46"/>
      <c r="M140" s="46"/>
      <c r="N140" s="46"/>
      <c r="O140" s="46"/>
      <c r="P140" s="46"/>
      <c r="Q140" s="46"/>
      <c r="R140" s="46"/>
      <c r="S140" s="46"/>
      <c r="T140" s="46"/>
      <c r="U140" s="46"/>
      <c r="V140" s="46"/>
      <c r="W140" s="46"/>
    </row>
    <row r="141" spans="1:23">
      <c r="A141" s="46"/>
      <c r="B141" s="46"/>
      <c r="C141" s="46"/>
      <c r="D141" s="46"/>
      <c r="E141" s="46"/>
      <c r="F141" s="46" t="s">
        <v>213</v>
      </c>
      <c r="G141" s="46"/>
      <c r="H141" s="46"/>
      <c r="I141" s="46"/>
      <c r="J141" s="46"/>
      <c r="K141" s="46"/>
      <c r="L141" s="46"/>
      <c r="M141" s="46"/>
      <c r="N141" s="46"/>
      <c r="O141" s="46"/>
      <c r="P141" s="46"/>
      <c r="Q141" s="46"/>
      <c r="R141" s="46"/>
      <c r="S141" s="46"/>
      <c r="T141" s="46"/>
      <c r="U141" s="46"/>
      <c r="V141" s="46"/>
      <c r="W141" s="46"/>
    </row>
    <row r="142" spans="1:23">
      <c r="A142" s="46"/>
      <c r="B142" s="46"/>
      <c r="C142" s="46"/>
      <c r="D142" s="46"/>
      <c r="E142" s="46"/>
      <c r="F142" s="46"/>
      <c r="H142" s="46"/>
      <c r="I142" s="46"/>
      <c r="J142" s="46"/>
      <c r="K142" s="46"/>
      <c r="L142" s="46"/>
      <c r="M142" s="46"/>
      <c r="N142" s="46"/>
      <c r="O142" s="46"/>
      <c r="P142" s="46"/>
      <c r="Q142" s="46"/>
      <c r="R142" s="46"/>
      <c r="S142" s="46"/>
      <c r="T142" s="46"/>
      <c r="U142" s="46"/>
      <c r="V142" s="46"/>
      <c r="W142" s="46"/>
    </row>
    <row r="143" spans="1:23">
      <c r="A143" s="46"/>
      <c r="B143" s="46"/>
      <c r="C143" s="46"/>
      <c r="D143" s="46"/>
      <c r="E143" s="46"/>
      <c r="F143" s="46"/>
      <c r="G143" s="46"/>
      <c r="H143" s="46"/>
      <c r="I143" s="46"/>
      <c r="J143" s="46"/>
      <c r="K143" s="46"/>
      <c r="L143" s="46"/>
      <c r="M143" s="46"/>
      <c r="N143" s="46"/>
      <c r="O143" s="46"/>
      <c r="P143" s="46"/>
      <c r="Q143" s="46"/>
      <c r="R143" s="46"/>
      <c r="S143" s="46"/>
      <c r="T143" s="46"/>
      <c r="U143" s="46"/>
      <c r="V143" s="46"/>
      <c r="W143" s="46"/>
    </row>
    <row r="144" spans="1:23" s="40" customFormat="1">
      <c r="A144" s="46"/>
      <c r="B144" s="46"/>
      <c r="C144" s="46"/>
      <c r="D144" s="46"/>
      <c r="E144" s="46"/>
      <c r="F144" s="46"/>
      <c r="G144" s="46"/>
      <c r="H144" s="46"/>
      <c r="I144" s="46"/>
      <c r="J144" s="46"/>
      <c r="K144" s="46"/>
      <c r="L144" s="46"/>
      <c r="M144" s="46"/>
      <c r="N144" s="46"/>
      <c r="O144" s="46"/>
      <c r="P144" s="46"/>
      <c r="Q144" s="46"/>
      <c r="R144" s="46"/>
      <c r="S144" s="46"/>
      <c r="T144" s="46"/>
      <c r="U144" s="46"/>
      <c r="V144" s="46"/>
      <c r="W144" s="46"/>
    </row>
    <row r="145" spans="1:23" s="40" customFormat="1" ht="16.5">
      <c r="A145" s="46"/>
      <c r="B145" s="46"/>
      <c r="C145" s="265" t="s">
        <v>504</v>
      </c>
      <c r="D145" s="46" t="s">
        <v>503</v>
      </c>
      <c r="E145" s="46"/>
      <c r="F145" s="46"/>
      <c r="G145" s="46"/>
      <c r="H145" s="46"/>
      <c r="I145" s="46"/>
      <c r="J145" s="46"/>
      <c r="K145" s="46"/>
      <c r="L145" s="46"/>
      <c r="M145" s="46"/>
      <c r="N145" s="46"/>
      <c r="O145" s="46"/>
      <c r="P145" s="46"/>
      <c r="Q145" s="46"/>
      <c r="R145" s="46"/>
      <c r="S145" s="46"/>
      <c r="T145" s="46"/>
      <c r="U145" s="46"/>
      <c r="V145" s="46"/>
      <c r="W145" s="46"/>
    </row>
    <row r="146" spans="1:23">
      <c r="A146" s="46"/>
      <c r="B146" s="46"/>
      <c r="C146" s="46"/>
      <c r="D146" s="46" t="s">
        <v>505</v>
      </c>
      <c r="E146" s="46"/>
      <c r="F146" s="46"/>
      <c r="G146" s="46"/>
      <c r="H146" s="46"/>
      <c r="I146" s="46"/>
      <c r="J146" s="46"/>
      <c r="K146" s="46"/>
      <c r="L146" s="46"/>
      <c r="M146" s="46"/>
      <c r="N146" s="46"/>
      <c r="O146" s="46"/>
      <c r="P146" s="46"/>
      <c r="Q146" s="46"/>
      <c r="R146" s="46"/>
      <c r="S146" s="46"/>
      <c r="T146" s="46"/>
      <c r="U146" s="46"/>
      <c r="V146" s="46"/>
      <c r="W146" s="46"/>
    </row>
    <row r="147" spans="1:23">
      <c r="A147" s="46"/>
      <c r="B147" s="46"/>
      <c r="C147" s="46"/>
      <c r="D147" s="46"/>
      <c r="E147" s="46"/>
      <c r="F147" s="46"/>
      <c r="G147" s="46"/>
      <c r="H147" s="46"/>
      <c r="I147" s="46"/>
      <c r="J147" s="46"/>
      <c r="K147" s="46"/>
      <c r="L147" s="46"/>
      <c r="M147" s="46"/>
      <c r="N147" s="46"/>
      <c r="O147" s="46"/>
      <c r="P147" s="46"/>
      <c r="Q147" s="46"/>
      <c r="R147" s="46"/>
      <c r="S147" s="46"/>
      <c r="T147" s="46"/>
      <c r="U147" s="46"/>
      <c r="V147" s="46"/>
      <c r="W147" s="46"/>
    </row>
    <row r="148" spans="1:23" ht="15">
      <c r="A148" s="46"/>
      <c r="B148" s="46"/>
      <c r="C148" s="191" t="s">
        <v>784</v>
      </c>
      <c r="D148" s="191"/>
      <c r="E148" s="191"/>
      <c r="F148" s="191"/>
      <c r="G148" s="191"/>
      <c r="H148" s="191"/>
      <c r="I148" s="191"/>
      <c r="J148" s="191"/>
      <c r="K148" s="191"/>
      <c r="L148" s="191"/>
      <c r="M148" s="191"/>
      <c r="N148" s="191"/>
      <c r="O148" s="191"/>
      <c r="P148" s="191"/>
      <c r="Q148" s="191"/>
      <c r="R148" s="191"/>
      <c r="S148" s="46"/>
      <c r="T148" s="46"/>
      <c r="U148" s="46"/>
      <c r="V148" s="46"/>
      <c r="W148" s="46"/>
    </row>
    <row r="149" spans="1:23">
      <c r="A149" s="46"/>
      <c r="B149" s="46"/>
      <c r="C149" s="191" t="s">
        <v>786</v>
      </c>
      <c r="D149" s="191"/>
      <c r="E149" s="191"/>
      <c r="F149" s="191"/>
      <c r="G149" s="191"/>
      <c r="H149" s="191"/>
      <c r="I149" s="191"/>
      <c r="J149" s="191"/>
      <c r="K149" s="191"/>
      <c r="L149" s="191"/>
      <c r="M149" s="191"/>
      <c r="N149" s="191"/>
      <c r="O149" s="191"/>
      <c r="P149" s="191"/>
      <c r="Q149" s="191"/>
      <c r="R149" s="191"/>
      <c r="S149" s="46"/>
      <c r="T149" s="46"/>
      <c r="U149" s="46"/>
      <c r="V149" s="46"/>
      <c r="W149" s="46"/>
    </row>
    <row r="150" spans="1:23" ht="15">
      <c r="A150" s="46"/>
      <c r="B150" s="46"/>
      <c r="C150" s="266" t="s">
        <v>500</v>
      </c>
      <c r="D150" s="267">
        <f>4.2/D156</f>
        <v>1.4583333333333335E-4</v>
      </c>
      <c r="E150" s="268" t="s">
        <v>787</v>
      </c>
      <c r="F150" s="191"/>
      <c r="G150" s="191"/>
      <c r="H150" s="191"/>
      <c r="I150" s="191"/>
      <c r="J150" s="191"/>
      <c r="K150" s="191"/>
      <c r="L150" s="269"/>
      <c r="M150" s="191"/>
      <c r="N150" s="46"/>
      <c r="O150" s="270">
        <f>10*LOG10(2*D150*10^(84.7/10))</f>
        <v>49.34886798302653</v>
      </c>
      <c r="P150" s="267" t="s">
        <v>28</v>
      </c>
      <c r="Q150" s="191"/>
      <c r="R150" s="191"/>
      <c r="S150" s="46"/>
      <c r="T150" s="46"/>
      <c r="U150" s="46"/>
      <c r="V150" s="46"/>
      <c r="W150" s="46"/>
    </row>
    <row r="151" spans="1:23">
      <c r="A151" s="46"/>
      <c r="B151" s="46"/>
      <c r="C151" s="46"/>
      <c r="D151" s="46"/>
      <c r="E151" s="46"/>
      <c r="F151" s="46"/>
      <c r="G151" s="46"/>
      <c r="H151" s="46"/>
      <c r="I151" s="46"/>
      <c r="J151" s="46"/>
      <c r="K151" s="46"/>
      <c r="L151" s="46"/>
      <c r="M151" s="46"/>
      <c r="N151" s="46"/>
      <c r="O151" s="46"/>
      <c r="P151" s="46"/>
      <c r="Q151" s="46"/>
      <c r="R151" s="46"/>
      <c r="S151" s="46"/>
      <c r="T151" s="46"/>
      <c r="U151" s="46"/>
      <c r="V151" s="46"/>
      <c r="W151" s="46"/>
    </row>
    <row r="152" spans="1:23" ht="16.5">
      <c r="A152" s="46"/>
      <c r="B152" s="46"/>
      <c r="C152" s="271" t="s">
        <v>506</v>
      </c>
      <c r="D152" s="46"/>
      <c r="E152" s="46"/>
      <c r="F152" s="46"/>
      <c r="G152" s="46"/>
      <c r="H152" s="46"/>
      <c r="I152" s="46"/>
      <c r="J152" s="46"/>
      <c r="K152" s="46"/>
      <c r="L152" s="46"/>
      <c r="M152" s="46"/>
      <c r="N152" s="46"/>
      <c r="O152" s="46"/>
      <c r="P152" s="46"/>
      <c r="Q152" s="46"/>
      <c r="R152" s="46"/>
      <c r="S152" s="46"/>
      <c r="T152" s="46"/>
      <c r="U152" s="46"/>
      <c r="V152" s="46"/>
      <c r="W152" s="46"/>
    </row>
    <row r="153" spans="1:23" s="40" customFormat="1">
      <c r="A153" s="46"/>
      <c r="B153" s="46"/>
      <c r="C153" s="46"/>
      <c r="D153" s="46"/>
      <c r="E153" s="46"/>
      <c r="F153" s="46"/>
      <c r="G153" s="46"/>
      <c r="H153" s="46"/>
      <c r="I153" s="46"/>
      <c r="J153" s="46"/>
      <c r="K153" s="46"/>
      <c r="L153" s="46"/>
      <c r="M153" s="46"/>
      <c r="N153" s="46"/>
      <c r="O153" s="46"/>
      <c r="P153" s="46"/>
      <c r="Q153" s="46"/>
      <c r="R153" s="46"/>
      <c r="S153" s="46"/>
      <c r="T153" s="46"/>
      <c r="U153" s="46"/>
      <c r="V153" s="46"/>
      <c r="W153" s="46"/>
    </row>
    <row r="154" spans="1:23" s="40" customFormat="1">
      <c r="A154" s="46"/>
      <c r="B154" s="46"/>
      <c r="C154" s="431" t="s">
        <v>491</v>
      </c>
      <c r="D154" s="254" t="s">
        <v>30</v>
      </c>
      <c r="E154" s="254" t="s">
        <v>18</v>
      </c>
      <c r="F154" s="46"/>
      <c r="G154" s="109" t="s">
        <v>509</v>
      </c>
      <c r="H154" s="264"/>
      <c r="I154" s="125"/>
      <c r="J154" s="125"/>
      <c r="K154" s="125"/>
      <c r="L154" s="125"/>
      <c r="M154" s="191"/>
      <c r="N154" s="191"/>
      <c r="O154" s="191"/>
      <c r="P154" s="191"/>
      <c r="Q154" s="46"/>
      <c r="R154" s="46"/>
      <c r="S154" s="46"/>
      <c r="T154" s="46"/>
      <c r="U154" s="46"/>
      <c r="V154" s="46"/>
      <c r="W154" s="46"/>
    </row>
    <row r="155" spans="1:23" s="40" customFormat="1" ht="20" customHeight="1">
      <c r="A155" s="46"/>
      <c r="B155" s="46"/>
      <c r="C155" s="463"/>
      <c r="D155" s="462">
        <v>8</v>
      </c>
      <c r="E155" s="96" t="s">
        <v>493</v>
      </c>
      <c r="F155" s="46"/>
      <c r="G155" s="109" t="s">
        <v>508</v>
      </c>
      <c r="H155" s="109"/>
      <c r="I155" s="85"/>
      <c r="J155" s="125"/>
      <c r="K155" s="125"/>
      <c r="L155" s="125"/>
      <c r="M155" s="191"/>
      <c r="N155" s="191"/>
      <c r="O155" s="191"/>
      <c r="P155" s="191"/>
      <c r="Q155" s="46"/>
      <c r="R155" s="46"/>
      <c r="S155" s="46"/>
      <c r="T155" s="46"/>
      <c r="U155" s="46"/>
      <c r="V155" s="46"/>
      <c r="W155" s="46"/>
    </row>
    <row r="156" spans="1:23" s="40" customFormat="1" ht="21" customHeight="1">
      <c r="A156" s="46"/>
      <c r="B156" s="46"/>
      <c r="C156" s="436" t="s">
        <v>492</v>
      </c>
      <c r="D156" s="273">
        <f>8*60*60</f>
        <v>28800</v>
      </c>
      <c r="E156" s="96" t="s">
        <v>20</v>
      </c>
      <c r="F156" s="109"/>
      <c r="G156" s="264"/>
      <c r="H156" s="109"/>
      <c r="I156" s="85"/>
      <c r="J156" s="125"/>
      <c r="K156" s="125"/>
      <c r="L156" s="125"/>
      <c r="M156" s="191"/>
      <c r="N156" s="191"/>
      <c r="O156" s="191"/>
      <c r="P156" s="191"/>
      <c r="Q156" s="46"/>
      <c r="R156" s="46"/>
      <c r="S156" s="46"/>
      <c r="T156" s="46"/>
      <c r="U156" s="46"/>
      <c r="V156" s="46"/>
      <c r="W156" s="46"/>
    </row>
    <row r="157" spans="1:23" s="40" customFormat="1">
      <c r="A157" s="46"/>
      <c r="B157" s="46"/>
      <c r="C157" s="272" t="s">
        <v>495</v>
      </c>
      <c r="D157" s="96">
        <f>'Passby Data Set 1 Output'!D14</f>
        <v>147.4</v>
      </c>
      <c r="E157" s="96" t="s">
        <v>15</v>
      </c>
      <c r="F157" s="191"/>
      <c r="G157" s="191"/>
      <c r="H157" s="191"/>
      <c r="I157" s="191"/>
      <c r="J157" s="191"/>
      <c r="K157" s="191"/>
      <c r="L157" s="191"/>
      <c r="M157" s="191"/>
      <c r="N157" s="191"/>
      <c r="O157" s="191"/>
      <c r="P157" s="191"/>
      <c r="Q157" s="46"/>
      <c r="R157" s="46"/>
      <c r="S157" s="46"/>
      <c r="T157" s="46"/>
      <c r="U157" s="46"/>
      <c r="V157" s="46"/>
      <c r="W157" s="46"/>
    </row>
    <row r="158" spans="1:23" s="40" customFormat="1">
      <c r="A158" s="46"/>
      <c r="B158" s="46"/>
      <c r="C158" s="272" t="s">
        <v>496</v>
      </c>
      <c r="D158" s="96">
        <f>'Passby Data Set 2 Output'!D14</f>
        <v>200.19</v>
      </c>
      <c r="E158" s="96" t="s">
        <v>15</v>
      </c>
      <c r="F158" s="191"/>
      <c r="G158" s="191"/>
      <c r="H158" s="191"/>
      <c r="I158" s="191"/>
      <c r="J158" s="191"/>
      <c r="K158" s="191"/>
      <c r="L158" s="191"/>
      <c r="M158" s="191"/>
      <c r="N158" s="191"/>
      <c r="O158" s="191"/>
      <c r="P158" s="191"/>
      <c r="Q158" s="46"/>
      <c r="R158" s="46"/>
      <c r="S158" s="46"/>
      <c r="T158" s="46"/>
      <c r="U158" s="46"/>
      <c r="V158" s="46"/>
      <c r="W158" s="46"/>
    </row>
    <row r="159" spans="1:23" s="40" customFormat="1">
      <c r="A159" s="46"/>
      <c r="B159" s="46"/>
      <c r="C159" s="272" t="s">
        <v>497</v>
      </c>
      <c r="D159" s="96">
        <f>'Passby Data Set 5 Output'!D14</f>
        <v>200</v>
      </c>
      <c r="E159" s="96" t="s">
        <v>15</v>
      </c>
      <c r="F159" s="191"/>
      <c r="G159" s="191"/>
      <c r="H159" s="191"/>
      <c r="I159" s="191"/>
      <c r="J159" s="191"/>
      <c r="K159" s="191"/>
      <c r="L159" s="191"/>
      <c r="M159" s="191"/>
      <c r="N159" s="191"/>
      <c r="O159" s="191"/>
      <c r="P159" s="191"/>
      <c r="Q159" s="46"/>
      <c r="R159" s="46"/>
      <c r="S159" s="46"/>
      <c r="T159" s="46"/>
      <c r="U159" s="46"/>
      <c r="V159" s="46"/>
      <c r="W159" s="46"/>
    </row>
    <row r="160" spans="1:23" s="40" customFormat="1">
      <c r="A160" s="46"/>
      <c r="B160" s="46"/>
      <c r="C160" s="191"/>
      <c r="D160" s="191"/>
      <c r="E160" s="191"/>
      <c r="F160" s="191"/>
      <c r="G160" s="191"/>
      <c r="H160" s="191"/>
      <c r="I160" s="191"/>
      <c r="J160" s="191"/>
      <c r="K160" s="191"/>
      <c r="L160" s="191"/>
      <c r="M160" s="191"/>
      <c r="N160" s="191"/>
      <c r="O160" s="191"/>
      <c r="P160" s="191"/>
      <c r="Q160" s="46"/>
      <c r="R160" s="46"/>
      <c r="S160" s="46"/>
      <c r="T160" s="46"/>
      <c r="U160" s="46"/>
      <c r="V160" s="46"/>
      <c r="W160" s="46"/>
    </row>
    <row r="161" spans="1:23" s="40" customFormat="1">
      <c r="A161" s="46"/>
      <c r="B161" s="46"/>
      <c r="C161" s="191"/>
      <c r="D161" s="191"/>
      <c r="E161" s="191"/>
      <c r="F161" s="191"/>
      <c r="G161" s="191"/>
      <c r="H161" s="191"/>
      <c r="I161" s="191"/>
      <c r="J161" s="191"/>
      <c r="K161" s="191"/>
      <c r="L161" s="191"/>
      <c r="M161" s="191"/>
      <c r="N161" s="191"/>
      <c r="O161" s="191"/>
      <c r="P161" s="191"/>
      <c r="Q161" s="46"/>
      <c r="R161" s="46"/>
      <c r="S161" s="46"/>
      <c r="T161" s="46"/>
      <c r="U161" s="46"/>
      <c r="V161" s="46"/>
      <c r="W161" s="46"/>
    </row>
    <row r="162" spans="1:23" s="40" customFormat="1" ht="30" customHeight="1">
      <c r="A162" s="46"/>
      <c r="B162" s="46"/>
      <c r="C162" s="464"/>
      <c r="D162" s="464"/>
      <c r="E162" s="388" t="s">
        <v>733</v>
      </c>
      <c r="F162" s="254">
        <v>80</v>
      </c>
      <c r="G162" s="254" t="s">
        <v>19</v>
      </c>
      <c r="H162" s="388" t="s">
        <v>494</v>
      </c>
      <c r="I162" s="240">
        <v>250</v>
      </c>
      <c r="J162" s="240" t="s">
        <v>19</v>
      </c>
      <c r="K162" s="388" t="s">
        <v>494</v>
      </c>
      <c r="L162" s="240">
        <v>300</v>
      </c>
      <c r="M162" s="240" t="s">
        <v>19</v>
      </c>
      <c r="N162" s="388" t="s">
        <v>494</v>
      </c>
      <c r="O162" s="240">
        <v>350</v>
      </c>
      <c r="P162" s="240" t="s">
        <v>19</v>
      </c>
      <c r="Q162" s="46"/>
      <c r="R162" s="46"/>
      <c r="S162" s="46"/>
      <c r="T162" s="46"/>
      <c r="U162" s="46"/>
      <c r="V162" s="46"/>
      <c r="W162" s="46"/>
    </row>
    <row r="163" spans="1:23" s="40" customFormat="1">
      <c r="A163" s="46"/>
      <c r="B163" s="46"/>
      <c r="C163" s="466" t="s">
        <v>490</v>
      </c>
      <c r="D163" s="467" t="s">
        <v>18</v>
      </c>
      <c r="E163" s="469"/>
      <c r="F163" s="468">
        <f>F162*1000/3600</f>
        <v>22.222222222222221</v>
      </c>
      <c r="G163" s="385" t="s">
        <v>243</v>
      </c>
      <c r="H163" s="471"/>
      <c r="I163" s="470">
        <f>I162*1000/3600</f>
        <v>69.444444444444443</v>
      </c>
      <c r="J163" s="382" t="s">
        <v>243</v>
      </c>
      <c r="K163" s="389"/>
      <c r="L163" s="470">
        <f>L162*1000/3600</f>
        <v>83.333333333333329</v>
      </c>
      <c r="M163" s="382" t="s">
        <v>243</v>
      </c>
      <c r="N163" s="389"/>
      <c r="O163" s="470">
        <f>O162*1000/3600</f>
        <v>97.222222222222229</v>
      </c>
      <c r="P163" s="240" t="s">
        <v>243</v>
      </c>
      <c r="Q163" s="46"/>
      <c r="R163" s="46"/>
      <c r="S163" s="46"/>
      <c r="T163" s="46"/>
      <c r="U163" s="46"/>
      <c r="V163" s="46"/>
      <c r="W163" s="46"/>
    </row>
    <row r="164" spans="1:23" s="40" customFormat="1" ht="26">
      <c r="A164" s="46"/>
      <c r="B164" s="46"/>
      <c r="C164" s="465"/>
      <c r="D164" s="465"/>
      <c r="E164" s="389" t="s">
        <v>10</v>
      </c>
      <c r="F164" s="387" t="s">
        <v>374</v>
      </c>
      <c r="G164" s="255" t="s">
        <v>489</v>
      </c>
      <c r="H164" s="389" t="s">
        <v>10</v>
      </c>
      <c r="I164" s="255" t="s">
        <v>374</v>
      </c>
      <c r="J164" s="255" t="s">
        <v>489</v>
      </c>
      <c r="K164" s="389" t="s">
        <v>10</v>
      </c>
      <c r="L164" s="255" t="s">
        <v>374</v>
      </c>
      <c r="M164" s="255" t="s">
        <v>489</v>
      </c>
      <c r="N164" s="389" t="s">
        <v>10</v>
      </c>
      <c r="O164" s="255" t="s">
        <v>374</v>
      </c>
      <c r="P164" s="255" t="s">
        <v>489</v>
      </c>
      <c r="Q164" s="191"/>
      <c r="R164" s="191"/>
      <c r="S164" s="46"/>
      <c r="T164" s="46"/>
      <c r="U164" s="46"/>
      <c r="V164" s="46"/>
      <c r="W164" s="46"/>
    </row>
    <row r="165" spans="1:23" s="40" customFormat="1">
      <c r="A165" s="46"/>
      <c r="B165" s="46"/>
      <c r="C165" s="276" t="s">
        <v>836</v>
      </c>
      <c r="D165" s="23" t="s">
        <v>20</v>
      </c>
      <c r="E165" s="274">
        <f>D157/F163</f>
        <v>6.6330000000000009</v>
      </c>
      <c r="F165" s="274">
        <f>D158/F163</f>
        <v>9.0085499999999996</v>
      </c>
      <c r="G165" s="274">
        <f>D159/F163</f>
        <v>9</v>
      </c>
      <c r="H165" s="274">
        <f>D157/I163</f>
        <v>2.12256</v>
      </c>
      <c r="I165" s="274">
        <f>D158/I163</f>
        <v>2.882736</v>
      </c>
      <c r="J165" s="274">
        <f>D159/I163</f>
        <v>2.88</v>
      </c>
      <c r="K165" s="274">
        <f>D157/L163</f>
        <v>1.7688000000000001</v>
      </c>
      <c r="L165" s="274">
        <f>D158/L163</f>
        <v>2.4022800000000002</v>
      </c>
      <c r="M165" s="274">
        <f>D159/L163</f>
        <v>2.4000000000000004</v>
      </c>
      <c r="N165" s="274">
        <f>D157/O163</f>
        <v>1.5161142857142857</v>
      </c>
      <c r="O165" s="274">
        <f>D158/O163</f>
        <v>2.0590971428571425</v>
      </c>
      <c r="P165" s="274">
        <f>D159/O163</f>
        <v>2.0571428571428569</v>
      </c>
      <c r="Q165" s="191"/>
      <c r="R165" s="191"/>
      <c r="S165" s="46"/>
      <c r="T165" s="46"/>
      <c r="U165" s="46"/>
      <c r="V165" s="46"/>
      <c r="W165" s="46"/>
    </row>
    <row r="166" spans="1:23" s="40" customFormat="1" ht="26">
      <c r="A166" s="46"/>
      <c r="B166" s="46"/>
      <c r="C166" s="277" t="s">
        <v>888</v>
      </c>
      <c r="D166" s="278"/>
      <c r="E166" s="279">
        <f>E165/$D$156</f>
        <v>2.3031250000000002E-4</v>
      </c>
      <c r="F166" s="279">
        <f t="shared" ref="F166:P166" si="1">F165/$D$156</f>
        <v>3.1279687499999998E-4</v>
      </c>
      <c r="G166" s="279">
        <f t="shared" si="1"/>
        <v>3.1250000000000001E-4</v>
      </c>
      <c r="H166" s="279">
        <f t="shared" si="1"/>
        <v>7.3700000000000002E-5</v>
      </c>
      <c r="I166" s="279">
        <f t="shared" si="1"/>
        <v>1.00095E-4</v>
      </c>
      <c r="J166" s="279">
        <f t="shared" si="1"/>
        <v>9.9999999999999991E-5</v>
      </c>
      <c r="K166" s="279">
        <f t="shared" si="1"/>
        <v>6.1416666666666678E-5</v>
      </c>
      <c r="L166" s="279">
        <f t="shared" si="1"/>
        <v>8.3412500000000001E-5</v>
      </c>
      <c r="M166" s="279">
        <f t="shared" si="1"/>
        <v>8.3333333333333344E-5</v>
      </c>
      <c r="N166" s="279">
        <f t="shared" si="1"/>
        <v>5.2642857142857141E-5</v>
      </c>
      <c r="O166" s="279">
        <f t="shared" si="1"/>
        <v>7.1496428571428557E-5</v>
      </c>
      <c r="P166" s="279">
        <f t="shared" si="1"/>
        <v>7.142857142857142E-5</v>
      </c>
      <c r="Q166" s="191"/>
      <c r="R166" s="191"/>
      <c r="S166" s="46"/>
      <c r="T166" s="46"/>
      <c r="U166" s="46"/>
      <c r="V166" s="46"/>
      <c r="W166" s="46"/>
    </row>
    <row r="167" spans="1:23" s="40" customFormat="1" ht="20.5" customHeight="1">
      <c r="A167" s="46"/>
      <c r="B167" s="46"/>
      <c r="C167" s="276" t="s">
        <v>779</v>
      </c>
      <c r="D167" s="23" t="s">
        <v>28</v>
      </c>
      <c r="E167" s="274">
        <f>'Passby Data Set 1 Output'!I169</f>
        <v>74.384645328674537</v>
      </c>
      <c r="F167" s="274">
        <f>'Passby Data Set 2 Output'!I176</f>
        <v>67.669432633304567</v>
      </c>
      <c r="G167" s="274">
        <f>'Passby Data Set 5 Output'!I172</f>
        <v>65.036098346150482</v>
      </c>
      <c r="H167" s="476">
        <f>'Passby Data Set 1 Output'!I172</f>
        <v>87.06137116335816</v>
      </c>
      <c r="I167" s="274">
        <f>'Passby Data Set 2 Output'!I179</f>
        <v>81.73557144584656</v>
      </c>
      <c r="J167" s="274">
        <f>'Passby Data Set 5 Output'!I175</f>
        <v>79.509412873153138</v>
      </c>
      <c r="K167" s="274">
        <f>'Passby Data Set 1 Output'!I173</f>
        <v>89.887675732141972</v>
      </c>
      <c r="L167" s="274">
        <f>'Passby Data Set 2 Output'!I180</f>
        <v>84.970526890471092</v>
      </c>
      <c r="M167" s="274">
        <f>'Passby Data Set 5 Output'!I176</f>
        <v>82.864125880854331</v>
      </c>
      <c r="N167" s="274">
        <f>'Passby Data Set 1 Output'!I174</f>
        <v>92.635372944176027</v>
      </c>
      <c r="O167" s="274">
        <f>'Passby Data Set 2 Output'!I181</f>
        <v>88.126874978345839</v>
      </c>
      <c r="P167" s="274">
        <f>'Passby Data Set 5 Output'!I177</f>
        <v>86.140231531805753</v>
      </c>
      <c r="Q167" s="191"/>
      <c r="R167" s="191"/>
      <c r="S167" s="46"/>
      <c r="T167" s="46"/>
      <c r="U167" s="46"/>
      <c r="V167" s="46"/>
      <c r="W167" s="46"/>
    </row>
    <row r="168" spans="1:23" s="40" customFormat="1" ht="15">
      <c r="A168" s="46"/>
      <c r="B168" s="46"/>
      <c r="C168" s="473" t="s">
        <v>499</v>
      </c>
      <c r="D168" s="690"/>
      <c r="E168" s="472"/>
      <c r="F168" s="472"/>
      <c r="G168" s="474"/>
      <c r="H168" s="478" t="s">
        <v>507</v>
      </c>
      <c r="I168" s="475"/>
      <c r="J168" s="472"/>
      <c r="K168" s="472"/>
      <c r="L168" s="472"/>
      <c r="M168" s="472"/>
      <c r="N168" s="472"/>
      <c r="O168" s="472"/>
      <c r="P168" s="472"/>
      <c r="Q168" s="191"/>
      <c r="R168" s="191"/>
      <c r="S168" s="46"/>
      <c r="T168" s="46"/>
      <c r="U168" s="46"/>
      <c r="V168" s="46"/>
      <c r="W168" s="46"/>
    </row>
    <row r="169" spans="1:23" s="40" customFormat="1">
      <c r="A169" s="46"/>
      <c r="B169" s="46"/>
      <c r="C169" s="691">
        <v>8</v>
      </c>
      <c r="D169" s="648"/>
      <c r="E169" s="485">
        <f>10*LOG10($C$169*E166*10^(E167/10))</f>
        <v>47.038720293985449</v>
      </c>
      <c r="F169" s="274">
        <f t="shared" ref="F169:P169" si="2">10*LOG10($C$169*F166*10^(F167/10))</f>
        <v>41.652956559089475</v>
      </c>
      <c r="G169" s="274">
        <f t="shared" si="2"/>
        <v>39.015498432870864</v>
      </c>
      <c r="H169" s="477">
        <f t="shared" si="2"/>
        <v>54.76694591186812</v>
      </c>
      <c r="I169" s="274">
        <f t="shared" si="2"/>
        <v>50.770595154830531</v>
      </c>
      <c r="J169" s="274">
        <f t="shared" si="2"/>
        <v>48.540312743072576</v>
      </c>
      <c r="K169" s="274">
        <f t="shared" si="2"/>
        <v>56.801438020175681</v>
      </c>
      <c r="L169" s="274">
        <f t="shared" si="2"/>
        <v>53.213738138978812</v>
      </c>
      <c r="M169" s="274">
        <f t="shared" si="2"/>
        <v>51.103213290297525</v>
      </c>
      <c r="N169" s="274">
        <f t="shared" si="2"/>
        <v>58.879667335903605</v>
      </c>
      <c r="O169" s="274">
        <f t="shared" si="2"/>
        <v>55.700618330547435</v>
      </c>
      <c r="P169" s="274">
        <f t="shared" si="2"/>
        <v>53.709851044942809</v>
      </c>
      <c r="Q169" s="191"/>
      <c r="R169" s="191"/>
      <c r="S169" s="46"/>
      <c r="T169" s="46"/>
      <c r="U169" s="46"/>
      <c r="V169" s="46"/>
      <c r="W169" s="46"/>
    </row>
    <row r="170" spans="1:23" s="40" customFormat="1">
      <c r="A170" s="46"/>
      <c r="B170" s="46"/>
      <c r="C170" s="691">
        <v>16</v>
      </c>
      <c r="D170" s="648"/>
      <c r="E170" s="485">
        <f>10*LOG10($C$170*E166*10^(E167/10))</f>
        <v>50.049020250625261</v>
      </c>
      <c r="F170" s="274">
        <f t="shared" ref="F170:P170" si="3">10*LOG10($C$170*F166*10^(F167/10))</f>
        <v>44.663256515729287</v>
      </c>
      <c r="G170" s="274">
        <f t="shared" si="3"/>
        <v>42.025798389510676</v>
      </c>
      <c r="H170" s="274">
        <f t="shared" si="3"/>
        <v>57.777245868507933</v>
      </c>
      <c r="I170" s="274">
        <f t="shared" si="3"/>
        <v>53.780895111470343</v>
      </c>
      <c r="J170" s="274">
        <f t="shared" si="3"/>
        <v>51.550612699712389</v>
      </c>
      <c r="K170" s="274">
        <f t="shared" si="3"/>
        <v>59.811737976815493</v>
      </c>
      <c r="L170" s="274">
        <f t="shared" si="3"/>
        <v>56.224038095618624</v>
      </c>
      <c r="M170" s="274">
        <f t="shared" si="3"/>
        <v>54.113513246937337</v>
      </c>
      <c r="N170" s="274">
        <f t="shared" si="3"/>
        <v>61.889967292543417</v>
      </c>
      <c r="O170" s="274">
        <f t="shared" si="3"/>
        <v>58.710918287187248</v>
      </c>
      <c r="P170" s="274">
        <f t="shared" si="3"/>
        <v>56.720151001582622</v>
      </c>
      <c r="Q170" s="191"/>
      <c r="R170" s="191"/>
      <c r="S170" s="46"/>
      <c r="T170" s="46"/>
      <c r="U170" s="46"/>
      <c r="V170" s="46"/>
      <c r="W170" s="46"/>
    </row>
    <row r="171" spans="1:23" s="40" customFormat="1">
      <c r="A171" s="46"/>
      <c r="B171" s="46"/>
      <c r="C171" s="691">
        <v>24</v>
      </c>
      <c r="D171" s="648"/>
      <c r="E171" s="485">
        <f>10*LOG10($C$171*E166*10^(E167/10))</f>
        <v>51.809932841182061</v>
      </c>
      <c r="F171" s="274">
        <f t="shared" ref="F171:P171" si="4">10*LOG10($C$171*F166*10^(F167/10))</f>
        <v>46.424169106286101</v>
      </c>
      <c r="G171" s="274">
        <f t="shared" si="4"/>
        <v>43.78671098006749</v>
      </c>
      <c r="H171" s="274">
        <f t="shared" si="4"/>
        <v>59.538158459064746</v>
      </c>
      <c r="I171" s="274">
        <f t="shared" si="4"/>
        <v>55.541807702027157</v>
      </c>
      <c r="J171" s="274">
        <f t="shared" si="4"/>
        <v>53.311525290269202</v>
      </c>
      <c r="K171" s="274">
        <f t="shared" si="4"/>
        <v>61.5726505673723</v>
      </c>
      <c r="L171" s="274">
        <f t="shared" si="4"/>
        <v>57.984950686175438</v>
      </c>
      <c r="M171" s="274">
        <f t="shared" si="4"/>
        <v>55.874425837494151</v>
      </c>
      <c r="N171" s="274">
        <f t="shared" si="4"/>
        <v>63.650879883100231</v>
      </c>
      <c r="O171" s="274">
        <f t="shared" si="4"/>
        <v>60.471830877744061</v>
      </c>
      <c r="P171" s="274">
        <f t="shared" si="4"/>
        <v>58.481063592139435</v>
      </c>
      <c r="Q171" s="191"/>
      <c r="R171" s="191"/>
      <c r="S171" s="46"/>
      <c r="T171" s="46"/>
      <c r="U171" s="46"/>
      <c r="V171" s="46"/>
      <c r="W171" s="46"/>
    </row>
    <row r="172" spans="1:23" s="40" customFormat="1">
      <c r="A172" s="46"/>
      <c r="B172" s="46"/>
      <c r="C172" s="691">
        <v>32</v>
      </c>
      <c r="D172" s="648"/>
      <c r="E172" s="485">
        <f>10*LOG10($C$172*E166*10^(E167/10))</f>
        <v>53.05932020726506</v>
      </c>
      <c r="F172" s="274">
        <f t="shared" ref="F172:P172" si="5">10*LOG10($C$172*F166*10^(F167/10))</f>
        <v>47.6735564723691</v>
      </c>
      <c r="G172" s="274">
        <f t="shared" si="5"/>
        <v>45.036098346150489</v>
      </c>
      <c r="H172" s="274">
        <f t="shared" si="5"/>
        <v>60.787545825147745</v>
      </c>
      <c r="I172" s="274">
        <f t="shared" si="5"/>
        <v>56.791195068110156</v>
      </c>
      <c r="J172" s="274">
        <f t="shared" si="5"/>
        <v>54.560912656352201</v>
      </c>
      <c r="K172" s="274">
        <f t="shared" si="5"/>
        <v>62.822037933455299</v>
      </c>
      <c r="L172" s="274">
        <f t="shared" si="5"/>
        <v>59.234338052258437</v>
      </c>
      <c r="M172" s="274">
        <f t="shared" si="5"/>
        <v>57.12381320357715</v>
      </c>
      <c r="N172" s="274">
        <f t="shared" si="5"/>
        <v>64.90026724918323</v>
      </c>
      <c r="O172" s="274">
        <f t="shared" si="5"/>
        <v>61.72121824382706</v>
      </c>
      <c r="P172" s="274">
        <f t="shared" si="5"/>
        <v>59.730450958222434</v>
      </c>
      <c r="Q172" s="191"/>
      <c r="R172" s="191"/>
      <c r="S172" s="46"/>
      <c r="T172" s="46"/>
      <c r="U172" s="46"/>
      <c r="V172" s="46"/>
      <c r="W172" s="46"/>
    </row>
    <row r="173" spans="1:23" s="40" customFormat="1">
      <c r="A173" s="46"/>
      <c r="B173" s="46"/>
      <c r="C173" s="691">
        <v>40</v>
      </c>
      <c r="D173" s="648"/>
      <c r="E173" s="485">
        <f>10*LOG10($C$173*E166*10^(E167/10))</f>
        <v>54.028420337345636</v>
      </c>
      <c r="F173" s="274">
        <f t="shared" ref="F173:P173" si="6">10*LOG10($C$173*F166*10^(F167/10))</f>
        <v>48.642656602449662</v>
      </c>
      <c r="G173" s="274">
        <f t="shared" si="6"/>
        <v>46.005198476231051</v>
      </c>
      <c r="H173" s="274">
        <f t="shared" si="6"/>
        <v>61.756645955228308</v>
      </c>
      <c r="I173" s="274">
        <f t="shared" si="6"/>
        <v>57.760295198190718</v>
      </c>
      <c r="J173" s="274">
        <f t="shared" si="6"/>
        <v>55.530012786432764</v>
      </c>
      <c r="K173" s="274">
        <f t="shared" si="6"/>
        <v>63.791138063535868</v>
      </c>
      <c r="L173" s="274">
        <f t="shared" si="6"/>
        <v>60.203438182338999</v>
      </c>
      <c r="M173" s="274">
        <f t="shared" si="6"/>
        <v>58.092913333657719</v>
      </c>
      <c r="N173" s="274">
        <f t="shared" si="6"/>
        <v>65.869367379263792</v>
      </c>
      <c r="O173" s="274">
        <f t="shared" si="6"/>
        <v>62.690318373907623</v>
      </c>
      <c r="P173" s="274">
        <f t="shared" si="6"/>
        <v>60.699551088302997</v>
      </c>
      <c r="Q173" s="191"/>
      <c r="R173" s="191"/>
      <c r="S173" s="46"/>
      <c r="T173" s="46"/>
      <c r="U173" s="46"/>
      <c r="V173" s="46"/>
      <c r="W173" s="46"/>
    </row>
    <row r="174" spans="1:23" s="40" customFormat="1">
      <c r="A174" s="46"/>
      <c r="B174" s="46"/>
      <c r="C174" s="691">
        <v>48</v>
      </c>
      <c r="D174" s="648"/>
      <c r="E174" s="485">
        <f>10*LOG10($C$174*E166*10^(E167/10))</f>
        <v>54.820232797821873</v>
      </c>
      <c r="F174" s="274">
        <f t="shared" ref="F174:P174" si="7">10*LOG10($C$174*F166*10^(F167/10))</f>
        <v>49.434469062925913</v>
      </c>
      <c r="G174" s="274">
        <f t="shared" si="7"/>
        <v>46.797010936707302</v>
      </c>
      <c r="H174" s="274">
        <f t="shared" si="7"/>
        <v>62.548458415704559</v>
      </c>
      <c r="I174" s="274">
        <f t="shared" si="7"/>
        <v>58.552107658666955</v>
      </c>
      <c r="J174" s="274">
        <f t="shared" si="7"/>
        <v>56.321825246909015</v>
      </c>
      <c r="K174" s="274">
        <f t="shared" si="7"/>
        <v>64.582950524012105</v>
      </c>
      <c r="L174" s="274">
        <f t="shared" si="7"/>
        <v>60.995250642815236</v>
      </c>
      <c r="M174" s="274">
        <f t="shared" si="7"/>
        <v>58.884725794133963</v>
      </c>
      <c r="N174" s="274">
        <f t="shared" si="7"/>
        <v>66.661179839740043</v>
      </c>
      <c r="O174" s="274">
        <f t="shared" si="7"/>
        <v>63.482130834383874</v>
      </c>
      <c r="P174" s="274">
        <f t="shared" si="7"/>
        <v>61.491363548779248</v>
      </c>
      <c r="Q174" s="191"/>
      <c r="R174" s="191"/>
      <c r="S174" s="46"/>
      <c r="T174" s="46"/>
      <c r="U174" s="46"/>
      <c r="V174" s="46"/>
      <c r="W174" s="46"/>
    </row>
    <row r="175" spans="1:23" s="40" customFormat="1">
      <c r="A175" s="46"/>
      <c r="B175" s="46"/>
      <c r="C175" s="691">
        <v>56</v>
      </c>
      <c r="D175" s="648"/>
      <c r="E175" s="485">
        <f>10*LOG10($C$175*E166*10^(E167/10))</f>
        <v>55.489700694128018</v>
      </c>
      <c r="F175" s="274">
        <f t="shared" ref="F175:P175" si="8">10*LOG10($C$175*F166*10^(F167/10))</f>
        <v>50.103936959232044</v>
      </c>
      <c r="G175" s="274">
        <f t="shared" si="8"/>
        <v>47.466478833013433</v>
      </c>
      <c r="H175" s="274">
        <f t="shared" si="8"/>
        <v>63.21792631201069</v>
      </c>
      <c r="I175" s="274">
        <f t="shared" si="8"/>
        <v>59.2215755549731</v>
      </c>
      <c r="J175" s="274">
        <f t="shared" si="8"/>
        <v>56.991293143215145</v>
      </c>
      <c r="K175" s="274">
        <f t="shared" si="8"/>
        <v>65.25241842031825</v>
      </c>
      <c r="L175" s="274">
        <f t="shared" si="8"/>
        <v>61.664718539121381</v>
      </c>
      <c r="M175" s="274">
        <f t="shared" si="8"/>
        <v>59.554193690440094</v>
      </c>
      <c r="N175" s="274">
        <f t="shared" si="8"/>
        <v>67.330647736046174</v>
      </c>
      <c r="O175" s="274">
        <f t="shared" si="8"/>
        <v>64.151598730689997</v>
      </c>
      <c r="P175" s="274">
        <f t="shared" si="8"/>
        <v>62.160831445085378</v>
      </c>
      <c r="Q175" s="191"/>
      <c r="R175" s="191"/>
      <c r="S175" s="46"/>
      <c r="T175" s="46"/>
      <c r="U175" s="46"/>
      <c r="V175" s="46"/>
      <c r="W175" s="46"/>
    </row>
    <row r="176" spans="1:23" s="40" customFormat="1">
      <c r="A176" s="46"/>
      <c r="B176" s="46"/>
      <c r="C176" s="46"/>
      <c r="D176" s="46"/>
      <c r="E176" s="46"/>
      <c r="F176" s="46"/>
      <c r="G176" s="46"/>
      <c r="H176" s="46"/>
      <c r="I176" s="46"/>
      <c r="J176" s="46"/>
      <c r="K176" s="46"/>
      <c r="L176" s="46"/>
      <c r="M176" s="46"/>
      <c r="N176" s="46"/>
      <c r="O176" s="46"/>
      <c r="P176" s="46"/>
      <c r="Q176" s="46"/>
      <c r="R176" s="46"/>
      <c r="S176" s="46"/>
      <c r="T176" s="46"/>
      <c r="U176" s="46"/>
      <c r="V176" s="46"/>
      <c r="W176" s="46"/>
    </row>
    <row r="177" spans="1:23">
      <c r="A177" s="46"/>
      <c r="B177" s="46"/>
      <c r="C177" s="46"/>
      <c r="D177" s="46"/>
      <c r="E177" s="46"/>
      <c r="F177" s="46"/>
      <c r="G177" s="46"/>
      <c r="H177" s="46"/>
      <c r="I177" s="46"/>
      <c r="J177" s="46"/>
      <c r="K177" s="46"/>
      <c r="L177" s="46"/>
      <c r="M177" s="46"/>
      <c r="N177" s="46"/>
      <c r="O177" s="46"/>
      <c r="P177" s="46"/>
      <c r="Q177" s="46"/>
      <c r="R177" s="46"/>
      <c r="S177" s="46"/>
      <c r="T177" s="46"/>
      <c r="U177" s="46"/>
      <c r="V177" s="46"/>
      <c r="W177" s="46"/>
    </row>
    <row r="178" spans="1:23">
      <c r="A178" s="46"/>
      <c r="B178" s="46"/>
      <c r="C178" s="46"/>
      <c r="D178" s="46"/>
      <c r="E178" s="46"/>
      <c r="F178" s="46"/>
      <c r="G178" s="46"/>
      <c r="H178" s="46"/>
      <c r="I178" s="46"/>
      <c r="J178" s="46"/>
      <c r="K178" s="46"/>
      <c r="L178" s="46"/>
      <c r="M178" s="46"/>
      <c r="N178" s="46"/>
      <c r="O178" s="46"/>
      <c r="P178" s="46"/>
      <c r="Q178" s="46"/>
      <c r="R178" s="46"/>
      <c r="S178" s="46"/>
      <c r="T178" s="46"/>
      <c r="U178" s="46"/>
      <c r="V178" s="46"/>
      <c r="W178" s="46"/>
    </row>
    <row r="179" spans="1:23">
      <c r="A179" s="46"/>
      <c r="B179" s="46"/>
      <c r="C179" s="46"/>
      <c r="D179" s="46"/>
      <c r="E179" s="46"/>
      <c r="F179" s="46"/>
      <c r="G179" s="46"/>
      <c r="H179" s="46"/>
      <c r="I179" s="46"/>
      <c r="J179" s="46"/>
      <c r="K179" s="46"/>
      <c r="L179" s="46"/>
      <c r="M179" s="46"/>
      <c r="N179" s="46"/>
      <c r="O179" s="46"/>
      <c r="P179" s="46"/>
      <c r="Q179" s="46"/>
      <c r="R179" s="46"/>
      <c r="S179" s="46"/>
      <c r="T179" s="46"/>
      <c r="U179" s="46"/>
      <c r="V179" s="46"/>
      <c r="W179" s="46"/>
    </row>
    <row r="180" spans="1:23">
      <c r="A180" s="46"/>
      <c r="B180" s="46"/>
      <c r="C180" s="46"/>
      <c r="D180" s="46"/>
      <c r="E180" s="46"/>
      <c r="F180" s="46"/>
      <c r="G180" s="46"/>
      <c r="H180" s="46"/>
      <c r="I180" s="46"/>
      <c r="J180" s="46"/>
      <c r="K180" s="46"/>
      <c r="L180" s="46"/>
      <c r="M180" s="46"/>
      <c r="N180" s="46"/>
      <c r="O180" s="46"/>
      <c r="P180" s="46"/>
      <c r="Q180" s="46"/>
      <c r="R180" s="46"/>
      <c r="S180" s="46"/>
      <c r="T180" s="46"/>
      <c r="U180" s="46"/>
      <c r="V180" s="46"/>
      <c r="W180" s="46"/>
    </row>
    <row r="181" spans="1:23">
      <c r="A181" s="46"/>
      <c r="B181" s="46"/>
      <c r="C181" s="46"/>
      <c r="D181" s="46"/>
      <c r="E181" s="46"/>
      <c r="F181" s="46"/>
      <c r="G181" s="46"/>
      <c r="H181" s="46"/>
      <c r="I181" s="46"/>
      <c r="J181" s="46"/>
      <c r="K181" s="46"/>
      <c r="L181" s="46"/>
      <c r="M181" s="46"/>
      <c r="N181" s="46"/>
      <c r="O181" s="46"/>
      <c r="P181" s="46"/>
      <c r="Q181" s="46"/>
      <c r="R181" s="46"/>
      <c r="S181" s="46"/>
      <c r="T181" s="46"/>
      <c r="U181" s="46"/>
      <c r="V181" s="46"/>
      <c r="W181" s="46"/>
    </row>
    <row r="182" spans="1:23">
      <c r="A182" s="46"/>
      <c r="B182" s="46"/>
      <c r="C182" s="46"/>
      <c r="D182" s="46"/>
      <c r="E182" s="46"/>
      <c r="F182" s="46"/>
      <c r="G182" s="46"/>
      <c r="H182" s="46"/>
      <c r="I182" s="46"/>
      <c r="J182" s="46"/>
      <c r="K182" s="46"/>
      <c r="L182" s="46"/>
      <c r="M182" s="46"/>
      <c r="N182" s="46"/>
      <c r="O182" s="46"/>
      <c r="P182" s="46"/>
      <c r="Q182" s="46"/>
      <c r="R182" s="46"/>
      <c r="S182" s="46"/>
      <c r="T182" s="46"/>
      <c r="U182" s="46"/>
      <c r="V182" s="46"/>
      <c r="W182" s="46"/>
    </row>
    <row r="183" spans="1:23">
      <c r="A183" s="46"/>
      <c r="B183" s="46"/>
      <c r="C183" s="46"/>
      <c r="D183" s="46"/>
      <c r="E183" s="46"/>
      <c r="F183" s="46"/>
      <c r="G183" s="46"/>
      <c r="H183" s="46"/>
      <c r="I183" s="46"/>
      <c r="J183" s="46"/>
      <c r="K183" s="46"/>
      <c r="L183" s="46"/>
      <c r="M183" s="46"/>
      <c r="N183" s="46"/>
      <c r="O183" s="46"/>
      <c r="P183" s="46"/>
      <c r="Q183" s="46"/>
      <c r="R183" s="46"/>
      <c r="S183" s="46"/>
      <c r="T183" s="46"/>
      <c r="U183" s="46"/>
      <c r="V183" s="46"/>
      <c r="W183" s="46"/>
    </row>
    <row r="184" spans="1:23">
      <c r="A184" s="46"/>
      <c r="B184" s="46"/>
      <c r="C184" s="46"/>
      <c r="D184" s="46"/>
      <c r="E184" s="46"/>
      <c r="F184" s="46"/>
      <c r="G184" s="46"/>
      <c r="H184" s="46"/>
      <c r="I184" s="46"/>
      <c r="J184" s="46"/>
      <c r="K184" s="46"/>
      <c r="L184" s="46"/>
      <c r="M184" s="46"/>
      <c r="N184" s="46"/>
      <c r="O184" s="46"/>
      <c r="P184" s="46"/>
      <c r="Q184" s="46"/>
      <c r="R184" s="46"/>
      <c r="S184" s="46"/>
      <c r="T184" s="46"/>
      <c r="U184" s="46"/>
      <c r="V184" s="46"/>
      <c r="W184" s="46"/>
    </row>
    <row r="185" spans="1:23">
      <c r="A185" s="46"/>
      <c r="B185" s="46"/>
      <c r="C185" s="46"/>
      <c r="D185" s="46"/>
      <c r="E185" s="46"/>
      <c r="F185" s="46"/>
      <c r="G185" s="46"/>
      <c r="H185" s="46"/>
      <c r="I185" s="46"/>
      <c r="J185" s="46"/>
      <c r="K185" s="46"/>
      <c r="L185" s="46"/>
      <c r="M185" s="46"/>
      <c r="N185" s="46"/>
      <c r="O185" s="46"/>
      <c r="P185" s="46"/>
      <c r="Q185" s="46"/>
      <c r="R185" s="46"/>
      <c r="S185" s="46"/>
      <c r="T185" s="46"/>
      <c r="U185" s="46"/>
      <c r="V185" s="46"/>
      <c r="W185" s="46"/>
    </row>
    <row r="186" spans="1:23">
      <c r="A186" s="46"/>
      <c r="B186" s="46"/>
      <c r="C186" s="46"/>
      <c r="D186" s="46"/>
      <c r="E186" s="46"/>
      <c r="F186" s="46"/>
      <c r="G186" s="46"/>
      <c r="H186" s="46"/>
      <c r="I186" s="46"/>
      <c r="J186" s="46"/>
      <c r="K186" s="46"/>
      <c r="L186" s="46"/>
      <c r="M186" s="46"/>
      <c r="N186" s="46"/>
      <c r="O186" s="46"/>
      <c r="P186" s="46"/>
      <c r="Q186" s="46"/>
      <c r="R186" s="46"/>
      <c r="S186" s="46"/>
      <c r="T186" s="46"/>
      <c r="U186" s="46"/>
      <c r="V186" s="46"/>
      <c r="W186" s="46"/>
    </row>
    <row r="187" spans="1:23">
      <c r="A187" s="46"/>
      <c r="B187" s="46"/>
      <c r="C187" s="46"/>
      <c r="D187" s="46"/>
      <c r="E187" s="46"/>
      <c r="F187" s="46"/>
      <c r="G187" s="46"/>
      <c r="H187" s="46"/>
      <c r="I187" s="46"/>
      <c r="J187" s="46"/>
      <c r="K187" s="46"/>
      <c r="L187" s="46"/>
      <c r="M187" s="46"/>
      <c r="N187" s="46"/>
      <c r="O187" s="46"/>
      <c r="P187" s="46"/>
      <c r="Q187" s="46"/>
      <c r="R187" s="46"/>
      <c r="S187" s="46"/>
      <c r="T187" s="46"/>
      <c r="U187" s="46"/>
      <c r="V187" s="46"/>
      <c r="W187" s="46"/>
    </row>
    <row r="188" spans="1:23">
      <c r="A188" s="46"/>
      <c r="B188" s="46"/>
      <c r="C188" s="46"/>
      <c r="D188" s="46"/>
      <c r="E188" s="46"/>
      <c r="F188" s="46"/>
      <c r="G188" s="46"/>
      <c r="H188" s="46"/>
      <c r="I188" s="46"/>
      <c r="J188" s="46"/>
      <c r="K188" s="46"/>
      <c r="L188" s="46"/>
      <c r="M188" s="46"/>
      <c r="N188" s="46"/>
      <c r="O188" s="46"/>
      <c r="P188" s="46"/>
      <c r="Q188" s="46"/>
      <c r="R188" s="46"/>
      <c r="S188" s="46"/>
      <c r="T188" s="46"/>
      <c r="U188" s="46"/>
      <c r="V188" s="46"/>
      <c r="W188" s="46"/>
    </row>
    <row r="189" spans="1:23">
      <c r="A189" s="46"/>
      <c r="B189" s="46"/>
      <c r="C189" s="46"/>
      <c r="D189" s="46"/>
      <c r="E189" s="46"/>
      <c r="F189" s="46"/>
      <c r="G189" s="46"/>
      <c r="H189" s="46"/>
      <c r="I189" s="46"/>
      <c r="J189" s="46"/>
      <c r="K189" s="46"/>
      <c r="L189" s="46"/>
      <c r="M189" s="46"/>
      <c r="N189" s="46"/>
      <c r="O189" s="46"/>
      <c r="P189" s="46"/>
      <c r="Q189" s="46"/>
      <c r="R189" s="46"/>
      <c r="S189" s="46"/>
      <c r="T189" s="46"/>
      <c r="U189" s="46"/>
      <c r="V189" s="46"/>
      <c r="W189" s="46"/>
    </row>
    <row r="190" spans="1:23">
      <c r="A190" s="46"/>
      <c r="B190" s="46"/>
      <c r="C190" s="46"/>
      <c r="D190" s="46"/>
      <c r="E190" s="46"/>
      <c r="F190" s="46"/>
      <c r="G190" s="46"/>
      <c r="H190" s="46"/>
      <c r="I190" s="46"/>
      <c r="J190" s="46"/>
      <c r="K190" s="46"/>
      <c r="L190" s="46"/>
      <c r="M190" s="46"/>
      <c r="N190" s="46"/>
      <c r="O190" s="46"/>
      <c r="P190" s="46"/>
      <c r="Q190" s="46"/>
      <c r="R190" s="46"/>
      <c r="S190" s="46"/>
      <c r="T190" s="46"/>
      <c r="U190" s="46"/>
      <c r="V190" s="46"/>
      <c r="W190" s="46"/>
    </row>
    <row r="191" spans="1:23">
      <c r="A191" s="46"/>
      <c r="B191" s="46"/>
      <c r="C191" s="46"/>
      <c r="D191" s="46"/>
      <c r="E191" s="46"/>
      <c r="F191" s="46"/>
      <c r="G191" s="46"/>
      <c r="H191" s="46"/>
      <c r="I191" s="46"/>
      <c r="J191" s="46"/>
      <c r="K191" s="46"/>
      <c r="L191" s="46"/>
      <c r="M191" s="46"/>
      <c r="N191" s="46"/>
      <c r="O191" s="46"/>
      <c r="P191" s="46"/>
      <c r="Q191" s="46"/>
      <c r="R191" s="46"/>
      <c r="S191" s="46"/>
      <c r="T191" s="46"/>
      <c r="U191" s="46"/>
      <c r="V191" s="46"/>
      <c r="W191" s="46"/>
    </row>
    <row r="192" spans="1:23">
      <c r="A192" s="46"/>
      <c r="B192" s="46"/>
      <c r="C192" s="46"/>
      <c r="D192" s="46"/>
      <c r="E192" s="46"/>
      <c r="F192" s="46"/>
      <c r="G192" s="46"/>
      <c r="H192" s="46"/>
      <c r="I192" s="46"/>
      <c r="J192" s="46"/>
      <c r="K192" s="46"/>
      <c r="L192" s="46"/>
      <c r="M192" s="46"/>
      <c r="N192" s="46"/>
      <c r="O192" s="46"/>
      <c r="P192" s="46"/>
      <c r="Q192" s="46"/>
      <c r="R192" s="46"/>
      <c r="S192" s="46"/>
      <c r="T192" s="46"/>
      <c r="U192" s="46"/>
      <c r="V192" s="46"/>
      <c r="W192" s="46"/>
    </row>
    <row r="193" spans="1:23">
      <c r="A193" s="46"/>
      <c r="B193" s="46"/>
      <c r="C193" s="46"/>
      <c r="D193" s="46"/>
      <c r="E193" s="46"/>
      <c r="F193" s="46"/>
      <c r="G193" s="46"/>
      <c r="H193" s="46"/>
      <c r="I193" s="46"/>
      <c r="J193" s="46"/>
      <c r="K193" s="46"/>
      <c r="L193" s="46"/>
      <c r="M193" s="46"/>
      <c r="N193" s="46"/>
      <c r="O193" s="46"/>
      <c r="P193" s="46"/>
      <c r="Q193" s="46"/>
      <c r="R193" s="46"/>
      <c r="S193" s="46"/>
      <c r="T193" s="46"/>
      <c r="U193" s="46"/>
      <c r="V193" s="46"/>
      <c r="W193" s="46"/>
    </row>
    <row r="194" spans="1:23">
      <c r="A194" s="46"/>
      <c r="B194" s="46"/>
      <c r="C194" s="46"/>
      <c r="D194" s="46"/>
      <c r="E194" s="46"/>
      <c r="F194" s="46"/>
      <c r="G194" s="46"/>
      <c r="H194" s="46"/>
      <c r="I194" s="46"/>
      <c r="J194" s="46"/>
      <c r="K194" s="46"/>
      <c r="L194" s="46"/>
      <c r="M194" s="46"/>
      <c r="N194" s="46"/>
      <c r="O194" s="46"/>
      <c r="P194" s="46"/>
      <c r="Q194" s="46"/>
      <c r="R194" s="46"/>
      <c r="S194" s="46"/>
      <c r="T194" s="46"/>
      <c r="U194" s="46"/>
      <c r="V194" s="46"/>
      <c r="W194" s="46"/>
    </row>
    <row r="195" spans="1:23">
      <c r="A195" s="46"/>
      <c r="B195" s="46"/>
      <c r="C195" s="46"/>
      <c r="D195" s="46"/>
      <c r="E195" s="46"/>
      <c r="F195" s="46"/>
      <c r="G195" s="46"/>
      <c r="H195" s="46"/>
      <c r="I195" s="46"/>
      <c r="J195" s="46"/>
      <c r="K195" s="46"/>
      <c r="L195" s="46"/>
      <c r="M195" s="46"/>
      <c r="N195" s="46"/>
      <c r="O195" s="46"/>
      <c r="P195" s="46"/>
      <c r="Q195" s="46"/>
      <c r="R195" s="46"/>
      <c r="S195" s="46"/>
      <c r="T195" s="46"/>
      <c r="U195" s="46"/>
      <c r="V195" s="46"/>
      <c r="W195" s="46"/>
    </row>
    <row r="196" spans="1:23">
      <c r="A196" s="46"/>
      <c r="B196" s="46"/>
      <c r="C196" s="46"/>
      <c r="D196" s="46"/>
      <c r="E196" s="46"/>
      <c r="F196" s="46"/>
      <c r="G196" s="46"/>
      <c r="H196" s="46"/>
      <c r="I196" s="46"/>
      <c r="J196" s="46"/>
      <c r="K196" s="46"/>
      <c r="L196" s="46"/>
      <c r="M196" s="46"/>
      <c r="N196" s="46"/>
      <c r="O196" s="46"/>
      <c r="P196" s="46"/>
      <c r="Q196" s="46"/>
      <c r="R196" s="46"/>
      <c r="S196" s="46"/>
      <c r="T196" s="46"/>
      <c r="U196" s="46"/>
      <c r="V196" s="46"/>
      <c r="W196" s="46"/>
    </row>
    <row r="197" spans="1:23">
      <c r="A197" s="46"/>
      <c r="B197" s="46"/>
      <c r="C197" s="46"/>
      <c r="D197" s="46"/>
      <c r="E197" s="46"/>
      <c r="F197" s="46"/>
      <c r="G197" s="46"/>
      <c r="H197" s="46"/>
      <c r="I197" s="46"/>
      <c r="J197" s="46"/>
      <c r="K197" s="46"/>
      <c r="L197" s="46"/>
      <c r="M197" s="46"/>
      <c r="N197" s="46"/>
      <c r="O197" s="46"/>
      <c r="P197" s="46"/>
      <c r="Q197" s="46"/>
      <c r="R197" s="46"/>
      <c r="S197" s="46"/>
      <c r="T197" s="46"/>
      <c r="U197" s="46"/>
      <c r="V197" s="46"/>
      <c r="W197" s="46"/>
    </row>
    <row r="198" spans="1:23">
      <c r="A198" s="46"/>
      <c r="B198" s="46"/>
      <c r="C198" s="46"/>
      <c r="D198" s="46"/>
      <c r="E198" s="46"/>
      <c r="F198" s="46"/>
      <c r="G198" s="46"/>
      <c r="H198" s="46"/>
      <c r="I198" s="46"/>
      <c r="J198" s="46"/>
      <c r="K198" s="46"/>
      <c r="L198" s="46"/>
      <c r="M198" s="46"/>
      <c r="N198" s="46"/>
      <c r="O198" s="46"/>
      <c r="P198" s="46"/>
      <c r="Q198" s="46"/>
      <c r="R198" s="46"/>
      <c r="S198" s="46"/>
      <c r="T198" s="46"/>
      <c r="U198" s="46"/>
      <c r="V198" s="46"/>
      <c r="W198" s="46"/>
    </row>
    <row r="199" spans="1:23">
      <c r="A199" s="46"/>
      <c r="B199" s="46"/>
      <c r="C199" s="46"/>
      <c r="D199" s="46"/>
      <c r="E199" s="46"/>
      <c r="F199" s="46"/>
      <c r="G199" s="46"/>
      <c r="H199" s="46"/>
      <c r="I199" s="46"/>
      <c r="J199" s="46"/>
      <c r="K199" s="46"/>
      <c r="L199" s="46"/>
      <c r="M199" s="46"/>
      <c r="N199" s="46"/>
      <c r="O199" s="46"/>
      <c r="P199" s="46"/>
      <c r="Q199" s="46"/>
      <c r="R199" s="46"/>
      <c r="S199" s="46"/>
      <c r="T199" s="46"/>
      <c r="U199" s="46"/>
      <c r="V199" s="46"/>
      <c r="W199" s="46"/>
    </row>
    <row r="200" spans="1:23">
      <c r="A200" s="46"/>
      <c r="B200" s="46"/>
      <c r="C200" s="46"/>
      <c r="D200" s="46"/>
      <c r="E200" s="46"/>
      <c r="F200" s="46"/>
      <c r="G200" s="46"/>
      <c r="H200" s="46"/>
      <c r="I200" s="46"/>
      <c r="J200" s="46"/>
      <c r="K200" s="46"/>
      <c r="L200" s="46"/>
      <c r="M200" s="46"/>
      <c r="N200" s="46"/>
      <c r="O200" s="46"/>
      <c r="P200" s="46"/>
      <c r="Q200" s="46"/>
      <c r="R200" s="46"/>
      <c r="S200" s="46"/>
      <c r="T200" s="46"/>
      <c r="U200" s="46"/>
      <c r="V200" s="46"/>
      <c r="W200" s="46"/>
    </row>
    <row r="201" spans="1:23">
      <c r="A201" s="46"/>
      <c r="B201" s="46"/>
      <c r="C201" s="46"/>
      <c r="D201" s="46"/>
      <c r="E201" s="46"/>
      <c r="F201" s="46"/>
      <c r="G201" s="46"/>
      <c r="H201" s="46"/>
      <c r="I201" s="46"/>
      <c r="J201" s="46"/>
      <c r="K201" s="46"/>
      <c r="L201" s="46"/>
      <c r="M201" s="46"/>
      <c r="N201" s="46"/>
      <c r="O201" s="46"/>
      <c r="P201" s="46"/>
      <c r="Q201" s="46"/>
      <c r="R201" s="46"/>
      <c r="S201" s="46"/>
      <c r="T201" s="46"/>
      <c r="U201" s="46"/>
      <c r="V201" s="46"/>
      <c r="W201" s="46"/>
    </row>
    <row r="202" spans="1:23">
      <c r="A202" s="46"/>
      <c r="B202" s="46"/>
      <c r="C202" s="46"/>
      <c r="D202" s="46"/>
      <c r="E202" s="46"/>
      <c r="F202" s="46"/>
      <c r="G202" s="46"/>
      <c r="H202" s="46"/>
      <c r="I202" s="46"/>
      <c r="J202" s="46"/>
      <c r="K202" s="46"/>
      <c r="L202" s="46"/>
      <c r="M202" s="46"/>
      <c r="N202" s="46"/>
      <c r="O202" s="46"/>
      <c r="P202" s="46"/>
      <c r="Q202" s="46"/>
      <c r="R202" s="46"/>
      <c r="S202" s="46"/>
      <c r="T202" s="46"/>
      <c r="U202" s="46"/>
      <c r="V202" s="46"/>
      <c r="W202" s="46"/>
    </row>
    <row r="203" spans="1:23">
      <c r="A203" s="46"/>
      <c r="B203" s="46"/>
      <c r="C203" s="46"/>
      <c r="D203" s="46"/>
      <c r="E203" s="46"/>
      <c r="F203" s="46"/>
      <c r="G203" s="46"/>
      <c r="H203" s="46"/>
      <c r="I203" s="46"/>
      <c r="J203" s="46"/>
      <c r="K203" s="46"/>
      <c r="L203" s="46"/>
      <c r="M203" s="46"/>
      <c r="N203" s="46"/>
      <c r="O203" s="46"/>
      <c r="P203" s="46"/>
      <c r="Q203" s="46"/>
      <c r="R203" s="46"/>
      <c r="S203" s="46"/>
      <c r="T203" s="46"/>
      <c r="U203" s="46"/>
      <c r="V203" s="46"/>
      <c r="W203" s="46"/>
    </row>
    <row r="204" spans="1:23">
      <c r="A204" s="46"/>
      <c r="B204" s="46"/>
      <c r="C204" s="46"/>
      <c r="D204" s="46"/>
      <c r="E204" s="46"/>
      <c r="F204" s="46"/>
      <c r="G204" s="46"/>
      <c r="H204" s="46"/>
      <c r="I204" s="46"/>
      <c r="J204" s="46"/>
      <c r="K204" s="46"/>
      <c r="L204" s="46"/>
      <c r="M204" s="46"/>
      <c r="N204" s="46"/>
      <c r="O204" s="46"/>
      <c r="P204" s="46"/>
      <c r="Q204" s="46"/>
      <c r="R204" s="46"/>
      <c r="S204" s="46"/>
      <c r="T204" s="46"/>
      <c r="U204" s="46"/>
      <c r="V204" s="46"/>
      <c r="W204" s="46"/>
    </row>
    <row r="205" spans="1:23">
      <c r="A205" s="46"/>
      <c r="B205" s="46"/>
      <c r="C205" s="46"/>
      <c r="D205" s="46"/>
      <c r="E205" s="46"/>
      <c r="F205" s="46"/>
      <c r="G205" s="46"/>
      <c r="H205" s="46"/>
      <c r="I205" s="46"/>
      <c r="J205" s="46"/>
      <c r="K205" s="46"/>
      <c r="L205" s="46"/>
      <c r="M205" s="46"/>
      <c r="N205" s="46"/>
      <c r="O205" s="46"/>
      <c r="P205" s="46"/>
      <c r="Q205" s="46"/>
      <c r="R205" s="46"/>
      <c r="S205" s="46"/>
      <c r="T205" s="46"/>
      <c r="U205" s="46"/>
      <c r="V205" s="46"/>
      <c r="W205" s="46"/>
    </row>
    <row r="206" spans="1:23">
      <c r="A206" s="46"/>
      <c r="B206" s="46"/>
      <c r="C206" s="46"/>
      <c r="D206" s="46"/>
      <c r="E206" s="46"/>
      <c r="F206" s="46"/>
      <c r="G206" s="46"/>
      <c r="H206" s="46"/>
      <c r="I206" s="46"/>
      <c r="J206" s="46"/>
      <c r="K206" s="46"/>
      <c r="L206" s="46"/>
      <c r="M206" s="46"/>
      <c r="N206" s="46"/>
      <c r="O206" s="46"/>
      <c r="P206" s="46"/>
      <c r="Q206" s="46"/>
      <c r="R206" s="46"/>
      <c r="S206" s="46"/>
      <c r="T206" s="46"/>
      <c r="U206" s="46"/>
      <c r="V206" s="46"/>
      <c r="W206" s="46"/>
    </row>
    <row r="207" spans="1:23">
      <c r="A207" s="46"/>
      <c r="B207" s="46"/>
      <c r="C207" s="46"/>
      <c r="D207" s="46"/>
      <c r="E207" s="46"/>
      <c r="F207" s="46"/>
      <c r="G207" s="46"/>
      <c r="H207" s="46"/>
      <c r="I207" s="46"/>
      <c r="J207" s="46"/>
      <c r="K207" s="46"/>
      <c r="L207" s="46"/>
      <c r="M207" s="46"/>
      <c r="N207" s="46"/>
      <c r="O207" s="46"/>
      <c r="P207" s="46"/>
      <c r="Q207" s="46"/>
      <c r="R207" s="46"/>
      <c r="S207" s="46"/>
      <c r="T207" s="46"/>
      <c r="U207" s="46"/>
      <c r="V207" s="46"/>
      <c r="W207" s="46"/>
    </row>
    <row r="208" spans="1:23">
      <c r="A208" s="46"/>
      <c r="B208" s="46"/>
      <c r="C208" s="46"/>
      <c r="D208" s="46"/>
      <c r="E208" s="46"/>
      <c r="F208" s="46"/>
      <c r="G208" s="46"/>
      <c r="H208" s="46"/>
      <c r="I208" s="46"/>
      <c r="J208" s="46"/>
      <c r="K208" s="46"/>
      <c r="L208" s="46"/>
      <c r="M208" s="46"/>
      <c r="N208" s="46"/>
      <c r="O208" s="46"/>
      <c r="P208" s="46"/>
      <c r="Q208" s="46"/>
      <c r="R208" s="46"/>
      <c r="S208" s="46"/>
      <c r="T208" s="46"/>
      <c r="U208" s="46"/>
      <c r="V208" s="46"/>
      <c r="W208" s="46"/>
    </row>
    <row r="209" spans="1:23" ht="16.5">
      <c r="A209" s="46"/>
      <c r="B209" s="46"/>
      <c r="C209" s="271" t="s">
        <v>510</v>
      </c>
      <c r="D209" s="46"/>
      <c r="E209" s="46"/>
      <c r="F209" s="46"/>
      <c r="G209" s="46"/>
      <c r="H209" s="46"/>
      <c r="I209" s="46"/>
      <c r="J209" s="46"/>
      <c r="K209" s="46"/>
      <c r="L209" s="46"/>
      <c r="M209" s="46"/>
      <c r="N209" s="46"/>
      <c r="O209" s="46"/>
      <c r="P209" s="46"/>
      <c r="Q209" s="46"/>
      <c r="R209" s="46"/>
      <c r="S209" s="46"/>
      <c r="T209" s="46"/>
      <c r="U209" s="46"/>
      <c r="V209" s="46"/>
      <c r="W209" s="46"/>
    </row>
    <row r="210" spans="1:23">
      <c r="A210" s="46"/>
      <c r="B210" s="46"/>
      <c r="C210" s="46"/>
      <c r="D210" s="46"/>
      <c r="E210" s="46"/>
      <c r="F210" s="46"/>
      <c r="G210" s="46"/>
      <c r="H210" s="46"/>
      <c r="I210" s="46"/>
      <c r="J210" s="46"/>
      <c r="K210" s="46"/>
      <c r="L210" s="46"/>
      <c r="M210" s="46"/>
      <c r="N210" s="46"/>
      <c r="O210" s="46"/>
      <c r="P210" s="46"/>
      <c r="Q210" s="46"/>
      <c r="R210" s="46"/>
      <c r="S210" s="46"/>
      <c r="T210" s="46"/>
      <c r="U210" s="46"/>
      <c r="V210" s="46"/>
      <c r="W210" s="46"/>
    </row>
    <row r="211" spans="1:23">
      <c r="A211" s="46"/>
      <c r="B211" s="46"/>
      <c r="C211" s="254" t="s">
        <v>491</v>
      </c>
      <c r="D211" s="254" t="s">
        <v>30</v>
      </c>
      <c r="E211" s="254" t="s">
        <v>18</v>
      </c>
      <c r="F211" s="46"/>
      <c r="G211" s="109" t="s">
        <v>509</v>
      </c>
      <c r="H211" s="264"/>
      <c r="I211" s="125"/>
      <c r="J211" s="125"/>
      <c r="K211" s="125"/>
      <c r="L211" s="125"/>
      <c r="M211" s="191"/>
      <c r="N211" s="191"/>
      <c r="O211" s="191"/>
      <c r="P211" s="191"/>
      <c r="Q211" s="46"/>
      <c r="R211" s="46"/>
      <c r="S211" s="46"/>
      <c r="T211" s="46"/>
      <c r="U211" s="46"/>
      <c r="V211" s="46"/>
      <c r="W211" s="46"/>
    </row>
    <row r="212" spans="1:23">
      <c r="A212" s="46"/>
      <c r="B212" s="46"/>
      <c r="C212" s="435" t="s">
        <v>492</v>
      </c>
      <c r="D212" s="96">
        <v>16</v>
      </c>
      <c r="E212" s="96" t="s">
        <v>493</v>
      </c>
      <c r="F212" s="46"/>
      <c r="G212" s="109" t="s">
        <v>508</v>
      </c>
      <c r="H212" s="109"/>
      <c r="I212" s="85"/>
      <c r="J212" s="125"/>
      <c r="K212" s="125"/>
      <c r="L212" s="125"/>
      <c r="M212" s="191"/>
      <c r="N212" s="191"/>
      <c r="O212" s="191"/>
      <c r="P212" s="191"/>
      <c r="Q212" s="46"/>
      <c r="R212" s="46"/>
      <c r="S212" s="46"/>
      <c r="T212" s="46"/>
      <c r="U212" s="46"/>
      <c r="V212" s="46"/>
      <c r="W212" s="46"/>
    </row>
    <row r="213" spans="1:23">
      <c r="A213" s="46"/>
      <c r="B213" s="46"/>
      <c r="C213" s="439"/>
      <c r="D213" s="479">
        <f>D212*60*60</f>
        <v>57600</v>
      </c>
      <c r="E213" s="96" t="s">
        <v>20</v>
      </c>
      <c r="F213" s="109"/>
      <c r="G213" s="264"/>
      <c r="H213" s="109"/>
      <c r="I213" s="85"/>
      <c r="J213" s="125"/>
      <c r="K213" s="125"/>
      <c r="L213" s="125"/>
      <c r="M213" s="191"/>
      <c r="N213" s="191"/>
      <c r="O213" s="191"/>
      <c r="P213" s="191"/>
      <c r="Q213" s="46"/>
      <c r="R213" s="46"/>
      <c r="S213" s="46"/>
      <c r="T213" s="46"/>
      <c r="U213" s="46"/>
      <c r="V213" s="46"/>
      <c r="W213" s="46"/>
    </row>
    <row r="214" spans="1:23">
      <c r="A214" s="46"/>
      <c r="B214" s="46"/>
      <c r="C214" s="480" t="s">
        <v>495</v>
      </c>
      <c r="D214" s="96">
        <f>'Passby Data Set 1 Output'!D14</f>
        <v>147.4</v>
      </c>
      <c r="E214" s="96" t="s">
        <v>15</v>
      </c>
      <c r="F214" s="191"/>
      <c r="G214" s="191"/>
      <c r="H214" s="191"/>
      <c r="I214" s="191"/>
      <c r="J214" s="191"/>
      <c r="K214" s="191"/>
      <c r="L214" s="191"/>
      <c r="M214" s="191"/>
      <c r="N214" s="191"/>
      <c r="O214" s="191"/>
      <c r="P214" s="191"/>
      <c r="Q214" s="46"/>
      <c r="R214" s="46"/>
      <c r="S214" s="46"/>
      <c r="T214" s="46"/>
      <c r="U214" s="46"/>
      <c r="V214" s="46"/>
      <c r="W214" s="46"/>
    </row>
    <row r="215" spans="1:23">
      <c r="A215" s="46"/>
      <c r="B215" s="46"/>
      <c r="C215" s="272" t="s">
        <v>496</v>
      </c>
      <c r="D215" s="96">
        <f>'Passby Data Set 2 Output'!D14</f>
        <v>200.19</v>
      </c>
      <c r="E215" s="96" t="s">
        <v>15</v>
      </c>
      <c r="F215" s="191"/>
      <c r="G215" s="191"/>
      <c r="H215" s="191"/>
      <c r="I215" s="191"/>
      <c r="J215" s="191"/>
      <c r="K215" s="191"/>
      <c r="L215" s="191"/>
      <c r="M215" s="191"/>
      <c r="N215" s="191"/>
      <c r="O215" s="191"/>
      <c r="P215" s="191"/>
      <c r="Q215" s="46"/>
      <c r="R215" s="46"/>
      <c r="S215" s="46"/>
      <c r="T215" s="46"/>
      <c r="U215" s="46"/>
      <c r="V215" s="46"/>
      <c r="W215" s="46"/>
    </row>
    <row r="216" spans="1:23">
      <c r="A216" s="46"/>
      <c r="B216" s="46"/>
      <c r="C216" s="272" t="s">
        <v>497</v>
      </c>
      <c r="D216" s="96">
        <f>'Passby Data Set 5 Output'!D14</f>
        <v>200</v>
      </c>
      <c r="E216" s="96" t="s">
        <v>15</v>
      </c>
      <c r="F216" s="191"/>
      <c r="G216" s="191"/>
      <c r="H216" s="191"/>
      <c r="I216" s="191"/>
      <c r="J216" s="191"/>
      <c r="K216" s="191"/>
      <c r="L216" s="191"/>
      <c r="M216" s="191"/>
      <c r="N216" s="191"/>
      <c r="O216" s="191"/>
      <c r="P216" s="191"/>
      <c r="Q216" s="46"/>
      <c r="R216" s="46"/>
      <c r="S216" s="46"/>
      <c r="T216" s="46"/>
      <c r="U216" s="46"/>
      <c r="V216" s="46"/>
      <c r="W216" s="46"/>
    </row>
    <row r="217" spans="1:23">
      <c r="A217" s="46"/>
      <c r="B217" s="46"/>
      <c r="C217" s="191"/>
      <c r="D217" s="191"/>
      <c r="E217" s="191"/>
      <c r="F217" s="191"/>
      <c r="G217" s="191"/>
      <c r="H217" s="191"/>
      <c r="I217" s="191"/>
      <c r="J217" s="191"/>
      <c r="K217" s="191"/>
      <c r="L217" s="191"/>
      <c r="M217" s="191"/>
      <c r="N217" s="191"/>
      <c r="O217" s="191"/>
      <c r="P217" s="191"/>
      <c r="Q217" s="46"/>
      <c r="R217" s="46"/>
      <c r="S217" s="46"/>
      <c r="T217" s="46"/>
      <c r="U217" s="46"/>
      <c r="V217" s="46"/>
      <c r="W217" s="46"/>
    </row>
    <row r="218" spans="1:23" ht="27" customHeight="1">
      <c r="A218" s="46"/>
      <c r="B218" s="46"/>
      <c r="C218" s="464"/>
      <c r="D218" s="464"/>
      <c r="E218" s="431" t="s">
        <v>494</v>
      </c>
      <c r="F218" s="254">
        <v>80</v>
      </c>
      <c r="G218" s="254" t="s">
        <v>19</v>
      </c>
      <c r="H218" s="388" t="s">
        <v>494</v>
      </c>
      <c r="I218" s="240">
        <v>250</v>
      </c>
      <c r="J218" s="240" t="s">
        <v>19</v>
      </c>
      <c r="K218" s="388" t="s">
        <v>494</v>
      </c>
      <c r="L218" s="240">
        <v>300</v>
      </c>
      <c r="M218" s="240" t="s">
        <v>19</v>
      </c>
      <c r="N218" s="388" t="s">
        <v>494</v>
      </c>
      <c r="O218" s="240">
        <v>350</v>
      </c>
      <c r="P218" s="240" t="s">
        <v>19</v>
      </c>
      <c r="Q218" s="46"/>
      <c r="R218" s="46"/>
      <c r="S218" s="46"/>
      <c r="T218" s="46"/>
      <c r="U218" s="46"/>
      <c r="V218" s="46"/>
      <c r="W218" s="46"/>
    </row>
    <row r="219" spans="1:23">
      <c r="A219" s="46"/>
      <c r="B219" s="46"/>
      <c r="C219" s="467" t="s">
        <v>490</v>
      </c>
      <c r="D219" s="467" t="s">
        <v>18</v>
      </c>
      <c r="E219" s="465"/>
      <c r="F219" s="468">
        <f>F218*1000/3600</f>
        <v>22.222222222222221</v>
      </c>
      <c r="G219" s="385" t="s">
        <v>243</v>
      </c>
      <c r="H219" s="465"/>
      <c r="I219" s="470">
        <f>I218*1000/3600</f>
        <v>69.444444444444443</v>
      </c>
      <c r="J219" s="382" t="s">
        <v>243</v>
      </c>
      <c r="K219" s="389"/>
      <c r="L219" s="470">
        <f>L218*1000/3600</f>
        <v>83.333333333333329</v>
      </c>
      <c r="M219" s="382" t="s">
        <v>243</v>
      </c>
      <c r="N219" s="471"/>
      <c r="O219" s="470">
        <f>O218*1000/3600</f>
        <v>97.222222222222229</v>
      </c>
      <c r="P219" s="240" t="s">
        <v>243</v>
      </c>
      <c r="Q219" s="46"/>
      <c r="R219" s="46"/>
      <c r="S219" s="46"/>
      <c r="T219" s="46"/>
      <c r="U219" s="46"/>
      <c r="V219" s="46"/>
      <c r="W219" s="46"/>
    </row>
    <row r="220" spans="1:23" ht="26">
      <c r="A220" s="46"/>
      <c r="B220" s="46"/>
      <c r="C220" s="465"/>
      <c r="D220" s="465"/>
      <c r="E220" s="389" t="s">
        <v>10</v>
      </c>
      <c r="F220" s="255" t="s">
        <v>374</v>
      </c>
      <c r="G220" s="255" t="s">
        <v>489</v>
      </c>
      <c r="H220" s="389" t="s">
        <v>10</v>
      </c>
      <c r="I220" s="255" t="s">
        <v>374</v>
      </c>
      <c r="J220" s="255" t="s">
        <v>489</v>
      </c>
      <c r="K220" s="389" t="s">
        <v>10</v>
      </c>
      <c r="L220" s="255" t="s">
        <v>374</v>
      </c>
      <c r="M220" s="255" t="s">
        <v>489</v>
      </c>
      <c r="N220" s="389" t="s">
        <v>10</v>
      </c>
      <c r="O220" s="255" t="s">
        <v>374</v>
      </c>
      <c r="P220" s="255" t="s">
        <v>489</v>
      </c>
      <c r="Q220" s="191"/>
      <c r="R220" s="46"/>
      <c r="S220" s="46"/>
      <c r="T220" s="46"/>
      <c r="U220" s="46"/>
      <c r="V220" s="46"/>
      <c r="W220" s="46"/>
    </row>
    <row r="221" spans="1:23">
      <c r="A221" s="46"/>
      <c r="B221" s="46"/>
      <c r="C221" s="276" t="s">
        <v>755</v>
      </c>
      <c r="D221" s="23" t="s">
        <v>20</v>
      </c>
      <c r="E221" s="274">
        <f>D214/F219</f>
        <v>6.6330000000000009</v>
      </c>
      <c r="F221" s="274">
        <f>D215/F219</f>
        <v>9.0085499999999996</v>
      </c>
      <c r="G221" s="274">
        <f>D216/F219</f>
        <v>9</v>
      </c>
      <c r="H221" s="274">
        <f>D214/I219</f>
        <v>2.12256</v>
      </c>
      <c r="I221" s="274">
        <f>D215/I219</f>
        <v>2.882736</v>
      </c>
      <c r="J221" s="274">
        <f>D216/I219</f>
        <v>2.88</v>
      </c>
      <c r="K221" s="274">
        <f>D214/L219</f>
        <v>1.7688000000000001</v>
      </c>
      <c r="L221" s="274">
        <f>D215/L219</f>
        <v>2.4022800000000002</v>
      </c>
      <c r="M221" s="274">
        <f>D216/L219</f>
        <v>2.4000000000000004</v>
      </c>
      <c r="N221" s="274">
        <f>D214/O219</f>
        <v>1.5161142857142857</v>
      </c>
      <c r="O221" s="274">
        <f>D215/O219</f>
        <v>2.0590971428571425</v>
      </c>
      <c r="P221" s="274">
        <f>D216/O219</f>
        <v>2.0571428571428569</v>
      </c>
      <c r="Q221" s="191"/>
      <c r="R221" s="46"/>
      <c r="S221" s="46"/>
      <c r="T221" s="46"/>
      <c r="U221" s="46"/>
      <c r="V221" s="46"/>
      <c r="W221" s="46"/>
    </row>
    <row r="222" spans="1:23" ht="26">
      <c r="A222" s="46"/>
      <c r="B222" s="46"/>
      <c r="C222" s="277" t="s">
        <v>788</v>
      </c>
      <c r="D222" s="278"/>
      <c r="E222" s="279">
        <f t="shared" ref="E222:P222" si="9">E221/$D$213</f>
        <v>1.1515625000000001E-4</v>
      </c>
      <c r="F222" s="279">
        <f t="shared" si="9"/>
        <v>1.5639843749999999E-4</v>
      </c>
      <c r="G222" s="279">
        <f t="shared" si="9"/>
        <v>1.5625E-4</v>
      </c>
      <c r="H222" s="279">
        <f t="shared" si="9"/>
        <v>3.6850000000000001E-5</v>
      </c>
      <c r="I222" s="279">
        <f t="shared" si="9"/>
        <v>5.0047499999999998E-5</v>
      </c>
      <c r="J222" s="279">
        <f t="shared" si="9"/>
        <v>4.9999999999999996E-5</v>
      </c>
      <c r="K222" s="279">
        <f t="shared" si="9"/>
        <v>3.0708333333333339E-5</v>
      </c>
      <c r="L222" s="279">
        <f t="shared" si="9"/>
        <v>4.1706250000000001E-5</v>
      </c>
      <c r="M222" s="279">
        <f t="shared" si="9"/>
        <v>4.1666666666666672E-5</v>
      </c>
      <c r="N222" s="279">
        <f t="shared" si="9"/>
        <v>2.632142857142857E-5</v>
      </c>
      <c r="O222" s="279">
        <f t="shared" si="9"/>
        <v>3.5748214285714279E-5</v>
      </c>
      <c r="P222" s="279">
        <f t="shared" si="9"/>
        <v>3.571428571428571E-5</v>
      </c>
      <c r="Q222" s="191"/>
      <c r="R222" s="46"/>
      <c r="S222" s="46"/>
      <c r="T222" s="46"/>
      <c r="U222" s="46"/>
      <c r="V222" s="46"/>
      <c r="W222" s="46"/>
    </row>
    <row r="223" spans="1:23" ht="21" customHeight="1">
      <c r="A223" s="46"/>
      <c r="B223" s="46"/>
      <c r="C223" s="276" t="s">
        <v>779</v>
      </c>
      <c r="D223" s="23" t="s">
        <v>28</v>
      </c>
      <c r="E223" s="274">
        <f>'Passby Data Set 1 Output'!I169</f>
        <v>74.384645328674537</v>
      </c>
      <c r="F223" s="274">
        <f>'Passby Data Set 2 Output'!I176</f>
        <v>67.669432633304567</v>
      </c>
      <c r="G223" s="274">
        <f>'Passby Data Set 5 Output'!I172</f>
        <v>65.036098346150482</v>
      </c>
      <c r="H223" s="476">
        <f>'Passby Data Set 1 Output'!I172</f>
        <v>87.06137116335816</v>
      </c>
      <c r="I223" s="274">
        <f>'Passby Data Set 2 Output'!I179</f>
        <v>81.73557144584656</v>
      </c>
      <c r="J223" s="274">
        <f>'Passby Data Set 5 Output'!I175</f>
        <v>79.509412873153138</v>
      </c>
      <c r="K223" s="274">
        <f>'Passby Data Set 1 Output'!I173</f>
        <v>89.887675732141972</v>
      </c>
      <c r="L223" s="274">
        <f>'Passby Data Set 2 Output'!I180</f>
        <v>84.970526890471092</v>
      </c>
      <c r="M223" s="274">
        <f>'Passby Data Set 5 Output'!I176</f>
        <v>82.864125880854331</v>
      </c>
      <c r="N223" s="274">
        <f>'Passby Data Set 1 Output'!I174</f>
        <v>92.635372944176027</v>
      </c>
      <c r="O223" s="274">
        <f>'Passby Data Set 2 Output'!I181</f>
        <v>88.126874978345839</v>
      </c>
      <c r="P223" s="274">
        <f>'Passby Data Set 5 Output'!I177</f>
        <v>86.140231531805753</v>
      </c>
      <c r="Q223" s="191"/>
      <c r="R223" s="46"/>
      <c r="S223" s="46"/>
      <c r="T223" s="46"/>
      <c r="U223" s="46"/>
      <c r="V223" s="46"/>
      <c r="W223" s="46"/>
    </row>
    <row r="224" spans="1:23" ht="15">
      <c r="A224" s="46"/>
      <c r="B224" s="46"/>
      <c r="C224" s="483" t="s">
        <v>511</v>
      </c>
      <c r="D224" s="690"/>
      <c r="E224" s="472"/>
      <c r="F224" s="472"/>
      <c r="G224" s="474"/>
      <c r="H224" s="478" t="s">
        <v>512</v>
      </c>
      <c r="I224" s="475"/>
      <c r="J224" s="472"/>
      <c r="K224" s="472"/>
      <c r="L224" s="472"/>
      <c r="M224" s="472"/>
      <c r="N224" s="472"/>
      <c r="O224" s="472"/>
      <c r="P224" s="472"/>
      <c r="Q224" s="191"/>
      <c r="R224" s="46"/>
      <c r="S224" s="46"/>
      <c r="T224" s="46"/>
      <c r="U224" s="46"/>
      <c r="V224" s="46"/>
      <c r="W224" s="46"/>
    </row>
    <row r="225" spans="1:23">
      <c r="A225" s="46"/>
      <c r="B225" s="46"/>
      <c r="C225" s="689">
        <v>30</v>
      </c>
      <c r="D225" s="648"/>
      <c r="E225" s="485">
        <f>10*LOG10($C$225*E222*10^(E223/10))</f>
        <v>49.768733014622825</v>
      </c>
      <c r="F225" s="274">
        <f t="shared" ref="F225:P225" si="10">10*LOG10($C$225*F222*10^(F223/10))</f>
        <v>44.382969279726851</v>
      </c>
      <c r="G225" s="274">
        <f t="shared" si="10"/>
        <v>41.745511153508239</v>
      </c>
      <c r="H225" s="477">
        <f t="shared" si="10"/>
        <v>57.496958632505496</v>
      </c>
      <c r="I225" s="274">
        <f t="shared" si="10"/>
        <v>53.500607875467907</v>
      </c>
      <c r="J225" s="274">
        <f t="shared" si="10"/>
        <v>51.270325463709952</v>
      </c>
      <c r="K225" s="274">
        <f t="shared" si="10"/>
        <v>59.531450740813057</v>
      </c>
      <c r="L225" s="274">
        <f t="shared" si="10"/>
        <v>55.943750859616188</v>
      </c>
      <c r="M225" s="274">
        <f t="shared" si="10"/>
        <v>53.833226010934908</v>
      </c>
      <c r="N225" s="274">
        <f t="shared" si="10"/>
        <v>61.609680056540988</v>
      </c>
      <c r="O225" s="274">
        <f t="shared" si="10"/>
        <v>58.430631051184811</v>
      </c>
      <c r="P225" s="274">
        <f t="shared" si="10"/>
        <v>56.439863765580185</v>
      </c>
      <c r="Q225" s="191"/>
      <c r="R225" s="46"/>
      <c r="S225" s="46"/>
      <c r="T225" s="46"/>
      <c r="U225" s="46"/>
      <c r="V225" s="46"/>
      <c r="W225" s="46"/>
    </row>
    <row r="226" spans="1:23">
      <c r="A226" s="46"/>
      <c r="B226" s="46"/>
      <c r="C226" s="689">
        <v>60</v>
      </c>
      <c r="D226" s="648"/>
      <c r="E226" s="485">
        <f>10*LOG10($C$226*E222*10^(E223/10))</f>
        <v>52.779032971262637</v>
      </c>
      <c r="F226" s="274">
        <f t="shared" ref="F226:P226" si="11">10*LOG10($C$226*F222*10^(F223/10))</f>
        <v>47.393269236366663</v>
      </c>
      <c r="G226" s="274">
        <f t="shared" si="11"/>
        <v>44.755811110148052</v>
      </c>
      <c r="H226" s="274">
        <f t="shared" si="11"/>
        <v>60.507258589145309</v>
      </c>
      <c r="I226" s="274">
        <f t="shared" si="11"/>
        <v>56.510907832107719</v>
      </c>
      <c r="J226" s="274">
        <f t="shared" si="11"/>
        <v>54.280625420349764</v>
      </c>
      <c r="K226" s="274">
        <f t="shared" si="11"/>
        <v>62.541750697452869</v>
      </c>
      <c r="L226" s="274">
        <f t="shared" si="11"/>
        <v>58.954050816256</v>
      </c>
      <c r="M226" s="274">
        <f t="shared" si="11"/>
        <v>56.84352596757472</v>
      </c>
      <c r="N226" s="274">
        <f t="shared" si="11"/>
        <v>64.619980013180808</v>
      </c>
      <c r="O226" s="274">
        <f t="shared" si="11"/>
        <v>61.440931007824624</v>
      </c>
      <c r="P226" s="274">
        <f t="shared" si="11"/>
        <v>59.450163722219997</v>
      </c>
      <c r="Q226" s="191"/>
      <c r="R226" s="46"/>
      <c r="S226" s="46"/>
      <c r="T226" s="46"/>
      <c r="U226" s="46"/>
      <c r="V226" s="46"/>
      <c r="W226" s="46"/>
    </row>
    <row r="227" spans="1:23">
      <c r="A227" s="46"/>
      <c r="B227" s="46"/>
      <c r="C227" s="689">
        <v>90</v>
      </c>
      <c r="D227" s="648"/>
      <c r="E227" s="485">
        <f>10*LOG10($C$227*E222*10^(E223/10))</f>
        <v>54.539945561819451</v>
      </c>
      <c r="F227" s="274">
        <f t="shared" ref="F227:P227" si="12">10*LOG10($C$227*F222*10^(F223/10))</f>
        <v>49.154181826923477</v>
      </c>
      <c r="G227" s="274">
        <f t="shared" si="12"/>
        <v>46.516723700704866</v>
      </c>
      <c r="H227" s="274">
        <f t="shared" si="12"/>
        <v>62.268171179702122</v>
      </c>
      <c r="I227" s="274">
        <f t="shared" si="12"/>
        <v>58.271820422664533</v>
      </c>
      <c r="J227" s="274">
        <f t="shared" si="12"/>
        <v>56.041538010906578</v>
      </c>
      <c r="K227" s="274">
        <f t="shared" si="12"/>
        <v>64.302663288009683</v>
      </c>
      <c r="L227" s="274">
        <f t="shared" si="12"/>
        <v>60.714963406812814</v>
      </c>
      <c r="M227" s="274">
        <f t="shared" si="12"/>
        <v>58.604438558131527</v>
      </c>
      <c r="N227" s="274">
        <f t="shared" si="12"/>
        <v>66.380892603737607</v>
      </c>
      <c r="O227" s="274">
        <f t="shared" si="12"/>
        <v>63.201843598381437</v>
      </c>
      <c r="P227" s="274">
        <f t="shared" si="12"/>
        <v>61.211076312776811</v>
      </c>
      <c r="Q227" s="191"/>
      <c r="R227" s="46"/>
      <c r="S227" s="46"/>
      <c r="T227" s="46"/>
      <c r="U227" s="46"/>
      <c r="V227" s="46"/>
      <c r="W227" s="46"/>
    </row>
    <row r="228" spans="1:23">
      <c r="A228" s="46"/>
      <c r="B228" s="46"/>
      <c r="C228" s="689">
        <v>120</v>
      </c>
      <c r="D228" s="648"/>
      <c r="E228" s="485">
        <f>10*LOG10($C$228*E222*10^(E223/10))</f>
        <v>55.78933292790245</v>
      </c>
      <c r="F228" s="274">
        <f t="shared" ref="F228:P228" si="13">10*LOG10($C$228*F222*10^(F223/10))</f>
        <v>50.403569193006476</v>
      </c>
      <c r="G228" s="274">
        <f t="shared" si="13"/>
        <v>47.766111066787865</v>
      </c>
      <c r="H228" s="274">
        <f t="shared" si="13"/>
        <v>63.517558545785121</v>
      </c>
      <c r="I228" s="274">
        <f t="shared" si="13"/>
        <v>59.521207788747532</v>
      </c>
      <c r="J228" s="274">
        <f t="shared" si="13"/>
        <v>57.290925376989577</v>
      </c>
      <c r="K228" s="274">
        <f t="shared" si="13"/>
        <v>65.552050654092682</v>
      </c>
      <c r="L228" s="274">
        <f t="shared" si="13"/>
        <v>61.964350772895813</v>
      </c>
      <c r="M228" s="274">
        <f t="shared" si="13"/>
        <v>59.853825924214526</v>
      </c>
      <c r="N228" s="274">
        <f t="shared" si="13"/>
        <v>67.630279969820606</v>
      </c>
      <c r="O228" s="274">
        <f t="shared" si="13"/>
        <v>64.451230964464429</v>
      </c>
      <c r="P228" s="274">
        <f t="shared" si="13"/>
        <v>62.46046367885981</v>
      </c>
      <c r="Q228" s="191"/>
      <c r="R228" s="46"/>
      <c r="S228" s="46"/>
      <c r="T228" s="46"/>
      <c r="U228" s="46"/>
      <c r="V228" s="46"/>
      <c r="W228" s="46"/>
    </row>
    <row r="229" spans="1:23">
      <c r="A229" s="46"/>
      <c r="B229" s="46"/>
      <c r="C229" s="689">
        <v>150</v>
      </c>
      <c r="D229" s="648"/>
      <c r="E229" s="485">
        <f>10*LOG10($C$229*E222*10^(E223/10))</f>
        <v>56.758433057983012</v>
      </c>
      <c r="F229" s="274">
        <f t="shared" ref="F229:P229" si="14">10*LOG10($C$229*F222*10^(F223/10))</f>
        <v>51.372669323087038</v>
      </c>
      <c r="G229" s="274">
        <f t="shared" si="14"/>
        <v>48.735211196868427</v>
      </c>
      <c r="H229" s="274">
        <f t="shared" si="14"/>
        <v>64.486658675865684</v>
      </c>
      <c r="I229" s="274">
        <f t="shared" si="14"/>
        <v>60.490307918828094</v>
      </c>
      <c r="J229" s="274">
        <f t="shared" si="14"/>
        <v>58.260025507070139</v>
      </c>
      <c r="K229" s="274">
        <f t="shared" si="14"/>
        <v>66.521150784173244</v>
      </c>
      <c r="L229" s="274">
        <f t="shared" si="14"/>
        <v>62.933450902976375</v>
      </c>
      <c r="M229" s="274">
        <f t="shared" si="14"/>
        <v>60.822926054295095</v>
      </c>
      <c r="N229" s="274">
        <f t="shared" si="14"/>
        <v>68.599380099901182</v>
      </c>
      <c r="O229" s="274">
        <f t="shared" si="14"/>
        <v>65.420331094544991</v>
      </c>
      <c r="P229" s="274">
        <f t="shared" si="14"/>
        <v>63.429563808940379</v>
      </c>
      <c r="Q229" s="191"/>
      <c r="R229" s="46"/>
      <c r="S229" s="46"/>
      <c r="T229" s="46"/>
      <c r="U229" s="46"/>
      <c r="V229" s="46"/>
      <c r="W229" s="46"/>
    </row>
    <row r="230" spans="1:23">
      <c r="A230" s="46"/>
      <c r="B230" s="46"/>
      <c r="C230" s="689">
        <v>180</v>
      </c>
      <c r="D230" s="648"/>
      <c r="E230" s="485">
        <f>10*LOG10($C$230*E222*10^(E223/10))</f>
        <v>57.550245518459249</v>
      </c>
      <c r="F230" s="274">
        <f t="shared" ref="F230:P230" si="15">10*LOG10($C$230*F222*10^(F223/10))</f>
        <v>52.164481783563289</v>
      </c>
      <c r="G230" s="274">
        <f t="shared" si="15"/>
        <v>49.527023657344678</v>
      </c>
      <c r="H230" s="274">
        <f t="shared" si="15"/>
        <v>65.278471136341935</v>
      </c>
      <c r="I230" s="274">
        <f t="shared" si="15"/>
        <v>61.282120379304345</v>
      </c>
      <c r="J230" s="274">
        <f t="shared" si="15"/>
        <v>59.05183796754639</v>
      </c>
      <c r="K230" s="274">
        <f t="shared" si="15"/>
        <v>67.312963244649481</v>
      </c>
      <c r="L230" s="274">
        <f t="shared" si="15"/>
        <v>63.725263363452626</v>
      </c>
      <c r="M230" s="274">
        <f t="shared" si="15"/>
        <v>61.614738514771339</v>
      </c>
      <c r="N230" s="274">
        <f t="shared" si="15"/>
        <v>69.391192560377419</v>
      </c>
      <c r="O230" s="274">
        <f t="shared" si="15"/>
        <v>66.212143555021242</v>
      </c>
      <c r="P230" s="274">
        <f t="shared" si="15"/>
        <v>64.221376269416623</v>
      </c>
      <c r="Q230" s="191"/>
      <c r="R230" s="46"/>
      <c r="S230" s="46"/>
      <c r="T230" s="46"/>
      <c r="U230" s="46"/>
      <c r="V230" s="46"/>
      <c r="W230" s="46"/>
    </row>
    <row r="231" spans="1:23">
      <c r="A231" s="46"/>
      <c r="B231" s="46"/>
      <c r="C231" s="689">
        <v>210</v>
      </c>
      <c r="D231" s="648"/>
      <c r="E231" s="485">
        <f>10*LOG10($C$231*E222*10^(E223/10))</f>
        <v>58.219713414765394</v>
      </c>
      <c r="F231" s="274">
        <f t="shared" ref="F231:P231" si="16">10*LOG10($C$231*F222*10^(F223/10))</f>
        <v>52.83394967986942</v>
      </c>
      <c r="G231" s="274">
        <f t="shared" si="16"/>
        <v>50.196491553650809</v>
      </c>
      <c r="H231" s="274">
        <f t="shared" si="16"/>
        <v>65.947939032648065</v>
      </c>
      <c r="I231" s="274">
        <f t="shared" si="16"/>
        <v>61.951588275610476</v>
      </c>
      <c r="J231" s="274">
        <f t="shared" si="16"/>
        <v>59.721305863852521</v>
      </c>
      <c r="K231" s="274">
        <f t="shared" si="16"/>
        <v>67.982431140955626</v>
      </c>
      <c r="L231" s="274">
        <f t="shared" si="16"/>
        <v>64.394731259758757</v>
      </c>
      <c r="M231" s="274">
        <f t="shared" si="16"/>
        <v>62.28420641107747</v>
      </c>
      <c r="N231" s="274">
        <f t="shared" si="16"/>
        <v>70.06066045668355</v>
      </c>
      <c r="O231" s="274">
        <f t="shared" si="16"/>
        <v>66.881611451327373</v>
      </c>
      <c r="P231" s="274">
        <f t="shared" si="16"/>
        <v>64.890844165722754</v>
      </c>
      <c r="Q231" s="191"/>
      <c r="R231" s="46"/>
      <c r="S231" s="46"/>
      <c r="T231" s="46"/>
      <c r="U231" s="46"/>
      <c r="V231" s="46"/>
      <c r="W231" s="46"/>
    </row>
    <row r="232" spans="1:23">
      <c r="A232" s="46"/>
      <c r="B232" s="46"/>
      <c r="C232" s="46"/>
      <c r="D232" s="46"/>
      <c r="E232" s="46"/>
      <c r="F232" s="46"/>
      <c r="G232" s="46"/>
      <c r="H232" s="46"/>
      <c r="I232" s="46"/>
      <c r="J232" s="46"/>
      <c r="K232" s="46"/>
      <c r="L232" s="46"/>
      <c r="M232" s="46"/>
      <c r="N232" s="46"/>
      <c r="O232" s="46"/>
      <c r="P232" s="46"/>
      <c r="Q232" s="46"/>
      <c r="R232" s="46"/>
      <c r="S232" s="46"/>
      <c r="T232" s="46"/>
      <c r="U232" s="46"/>
      <c r="V232" s="46"/>
      <c r="W232" s="46"/>
    </row>
    <row r="233" spans="1:23">
      <c r="A233" s="46"/>
      <c r="B233" s="46"/>
      <c r="C233" s="46"/>
      <c r="D233" s="46"/>
      <c r="E233" s="46"/>
      <c r="F233" s="46"/>
      <c r="G233" s="46"/>
      <c r="H233" s="46"/>
      <c r="I233" s="46"/>
      <c r="J233" s="46"/>
      <c r="K233" s="46"/>
      <c r="L233" s="46"/>
      <c r="M233" s="46"/>
      <c r="N233" s="46"/>
      <c r="O233" s="46"/>
      <c r="P233" s="46"/>
      <c r="Q233" s="46"/>
      <c r="R233" s="46"/>
      <c r="S233" s="46"/>
      <c r="T233" s="46"/>
      <c r="U233" s="46"/>
      <c r="V233" s="46"/>
      <c r="W233" s="46"/>
    </row>
    <row r="234" spans="1:23">
      <c r="A234" s="46"/>
      <c r="B234" s="46"/>
      <c r="C234" s="46"/>
      <c r="D234" s="46"/>
      <c r="E234" s="46"/>
      <c r="F234" s="46"/>
      <c r="G234" s="46"/>
      <c r="H234" s="46"/>
      <c r="I234" s="46"/>
      <c r="J234" s="46"/>
      <c r="K234" s="46"/>
      <c r="L234" s="46"/>
      <c r="M234" s="46"/>
      <c r="N234" s="46"/>
      <c r="O234" s="46"/>
      <c r="P234" s="46"/>
      <c r="Q234" s="46"/>
      <c r="R234" s="46"/>
      <c r="S234" s="46"/>
      <c r="T234" s="46"/>
      <c r="U234" s="46"/>
      <c r="V234" s="46"/>
      <c r="W234" s="46"/>
    </row>
    <row r="235" spans="1:23">
      <c r="A235" s="46"/>
      <c r="B235" s="46"/>
      <c r="C235" s="46"/>
      <c r="D235" s="46"/>
      <c r="E235" s="46"/>
      <c r="F235" s="46"/>
      <c r="G235" s="46"/>
      <c r="H235" s="46"/>
      <c r="I235" s="46"/>
      <c r="J235" s="46"/>
      <c r="K235" s="46"/>
      <c r="L235" s="46"/>
      <c r="M235" s="46"/>
      <c r="N235" s="46"/>
      <c r="O235" s="46"/>
      <c r="P235" s="46"/>
      <c r="Q235" s="46"/>
      <c r="R235" s="46"/>
      <c r="S235" s="46"/>
      <c r="T235" s="46"/>
      <c r="U235" s="46"/>
      <c r="V235" s="46"/>
      <c r="W235" s="46"/>
    </row>
    <row r="236" spans="1:23">
      <c r="A236" s="46"/>
      <c r="B236" s="46"/>
      <c r="C236" s="46"/>
      <c r="D236" s="46"/>
      <c r="E236" s="46"/>
      <c r="F236" s="46"/>
      <c r="G236" s="46"/>
      <c r="H236" s="46"/>
      <c r="I236" s="46"/>
      <c r="J236" s="46"/>
      <c r="K236" s="46"/>
      <c r="L236" s="46"/>
      <c r="M236" s="46"/>
      <c r="N236" s="46"/>
      <c r="O236" s="46"/>
      <c r="P236" s="46"/>
      <c r="Q236" s="46"/>
      <c r="R236" s="46"/>
      <c r="S236" s="46"/>
      <c r="T236" s="46"/>
      <c r="U236" s="46"/>
      <c r="V236" s="46"/>
      <c r="W236" s="46"/>
    </row>
    <row r="237" spans="1:23">
      <c r="A237" s="46"/>
      <c r="B237" s="46"/>
      <c r="C237" s="46"/>
      <c r="D237" s="46"/>
      <c r="E237" s="46"/>
      <c r="F237" s="46"/>
      <c r="G237" s="46"/>
      <c r="H237" s="46"/>
      <c r="I237" s="46"/>
      <c r="J237" s="46"/>
      <c r="K237" s="46"/>
      <c r="L237" s="46"/>
      <c r="M237" s="46"/>
      <c r="N237" s="46"/>
      <c r="O237" s="46"/>
      <c r="P237" s="46"/>
      <c r="Q237" s="46"/>
      <c r="R237" s="46"/>
      <c r="S237" s="46"/>
      <c r="T237" s="46"/>
      <c r="U237" s="46"/>
      <c r="V237" s="46"/>
      <c r="W237" s="46"/>
    </row>
    <row r="238" spans="1:23">
      <c r="A238" s="46"/>
      <c r="B238" s="46"/>
      <c r="C238" s="46"/>
      <c r="D238" s="46"/>
      <c r="E238" s="46"/>
      <c r="F238" s="46"/>
      <c r="G238" s="46"/>
      <c r="H238" s="46"/>
      <c r="I238" s="46"/>
      <c r="J238" s="46"/>
      <c r="K238" s="46"/>
      <c r="L238" s="46"/>
      <c r="M238" s="46"/>
      <c r="N238" s="46"/>
      <c r="O238" s="46"/>
      <c r="P238" s="46"/>
      <c r="Q238" s="46"/>
      <c r="R238" s="46"/>
      <c r="S238" s="46"/>
      <c r="T238" s="46"/>
      <c r="U238" s="46"/>
      <c r="V238" s="46"/>
      <c r="W238" s="46"/>
    </row>
    <row r="239" spans="1:23">
      <c r="A239" s="46"/>
      <c r="B239" s="46"/>
      <c r="C239" s="46"/>
      <c r="D239" s="46"/>
      <c r="E239" s="46"/>
      <c r="F239" s="46"/>
      <c r="G239" s="46"/>
      <c r="H239" s="46"/>
      <c r="I239" s="46"/>
      <c r="J239" s="46"/>
      <c r="K239" s="46"/>
      <c r="L239" s="46"/>
      <c r="M239" s="46"/>
      <c r="N239" s="46"/>
      <c r="O239" s="46"/>
      <c r="P239" s="46"/>
      <c r="Q239" s="46"/>
      <c r="R239" s="46"/>
      <c r="S239" s="46"/>
      <c r="T239" s="46"/>
      <c r="U239" s="46"/>
      <c r="V239" s="46"/>
      <c r="W239" s="46"/>
    </row>
    <row r="240" spans="1:23">
      <c r="A240" s="46"/>
      <c r="B240" s="46"/>
      <c r="C240" s="46"/>
      <c r="D240" s="46"/>
      <c r="E240" s="46"/>
      <c r="F240" s="46"/>
      <c r="G240" s="46"/>
      <c r="H240" s="46"/>
      <c r="I240" s="46"/>
      <c r="J240" s="46"/>
      <c r="K240" s="46"/>
      <c r="L240" s="46"/>
      <c r="M240" s="46"/>
      <c r="N240" s="46"/>
      <c r="O240" s="46"/>
      <c r="P240" s="46"/>
      <c r="Q240" s="46"/>
      <c r="R240" s="46"/>
      <c r="S240" s="46"/>
      <c r="T240" s="46"/>
      <c r="U240" s="46"/>
      <c r="V240" s="46"/>
      <c r="W240" s="46"/>
    </row>
    <row r="241" spans="1:23">
      <c r="A241" s="46"/>
      <c r="B241" s="46"/>
      <c r="C241" s="46"/>
      <c r="D241" s="46"/>
      <c r="E241" s="46"/>
      <c r="F241" s="46"/>
      <c r="G241" s="46"/>
      <c r="H241" s="46"/>
      <c r="I241" s="46"/>
      <c r="J241" s="46"/>
      <c r="K241" s="46"/>
      <c r="L241" s="46"/>
      <c r="M241" s="46"/>
      <c r="N241" s="46"/>
      <c r="O241" s="46"/>
      <c r="P241" s="46"/>
      <c r="Q241" s="46"/>
      <c r="R241" s="46"/>
      <c r="S241" s="46"/>
      <c r="T241" s="46"/>
      <c r="U241" s="46"/>
      <c r="V241" s="46"/>
      <c r="W241" s="46"/>
    </row>
    <row r="242" spans="1:23">
      <c r="A242" s="46"/>
      <c r="B242" s="46"/>
      <c r="C242" s="46"/>
      <c r="D242" s="46"/>
      <c r="E242" s="46"/>
      <c r="F242" s="46"/>
      <c r="G242" s="46"/>
      <c r="H242" s="46"/>
      <c r="I242" s="46"/>
      <c r="J242" s="46"/>
      <c r="K242" s="46"/>
      <c r="L242" s="46"/>
      <c r="M242" s="46"/>
      <c r="N242" s="46"/>
      <c r="O242" s="46"/>
      <c r="P242" s="46"/>
      <c r="Q242" s="46"/>
      <c r="R242" s="46"/>
      <c r="S242" s="46"/>
      <c r="T242" s="46"/>
      <c r="U242" s="46"/>
      <c r="V242" s="46"/>
      <c r="W242" s="46"/>
    </row>
    <row r="243" spans="1:23">
      <c r="A243" s="46"/>
      <c r="B243" s="46"/>
      <c r="C243" s="46"/>
      <c r="D243" s="46"/>
      <c r="E243" s="46"/>
      <c r="F243" s="46"/>
      <c r="G243" s="46"/>
      <c r="H243" s="46"/>
      <c r="I243" s="46"/>
      <c r="J243" s="46"/>
      <c r="K243" s="46"/>
      <c r="L243" s="46"/>
      <c r="M243" s="46"/>
      <c r="N243" s="46"/>
      <c r="O243" s="46"/>
      <c r="P243" s="46"/>
      <c r="Q243" s="46"/>
      <c r="R243" s="46"/>
      <c r="S243" s="46"/>
      <c r="T243" s="46"/>
      <c r="U243" s="46"/>
      <c r="V243" s="46"/>
      <c r="W243" s="46"/>
    </row>
    <row r="244" spans="1:23">
      <c r="A244" s="46"/>
      <c r="B244" s="46"/>
      <c r="C244" s="46"/>
      <c r="D244" s="46"/>
      <c r="E244" s="46"/>
      <c r="F244" s="46"/>
      <c r="G244" s="46"/>
      <c r="H244" s="46"/>
      <c r="I244" s="46"/>
      <c r="J244" s="46"/>
      <c r="K244" s="46"/>
      <c r="L244" s="46"/>
      <c r="M244" s="46"/>
      <c r="N244" s="46"/>
      <c r="O244" s="46"/>
      <c r="P244" s="46"/>
      <c r="Q244" s="46"/>
      <c r="R244" s="46"/>
      <c r="S244" s="46"/>
      <c r="T244" s="46"/>
      <c r="U244" s="46"/>
      <c r="V244" s="46"/>
      <c r="W244" s="46"/>
    </row>
    <row r="245" spans="1:23">
      <c r="A245" s="46"/>
      <c r="B245" s="46"/>
      <c r="C245" s="46"/>
      <c r="D245" s="46"/>
      <c r="E245" s="46"/>
      <c r="F245" s="46"/>
      <c r="G245" s="46"/>
      <c r="H245" s="46"/>
      <c r="I245" s="46"/>
      <c r="J245" s="46"/>
      <c r="K245" s="46"/>
      <c r="L245" s="46"/>
      <c r="M245" s="46"/>
      <c r="N245" s="46"/>
      <c r="O245" s="46"/>
      <c r="P245" s="46"/>
      <c r="Q245" s="46"/>
      <c r="R245" s="46"/>
      <c r="S245" s="46"/>
      <c r="T245" s="46"/>
      <c r="U245" s="46"/>
      <c r="V245" s="46"/>
      <c r="W245" s="46"/>
    </row>
    <row r="246" spans="1:23">
      <c r="A246" s="46"/>
      <c r="B246" s="46"/>
      <c r="C246" s="46"/>
      <c r="D246" s="46"/>
      <c r="E246" s="46"/>
      <c r="F246" s="46"/>
      <c r="G246" s="46"/>
      <c r="H246" s="46"/>
      <c r="I246" s="46"/>
      <c r="J246" s="46"/>
      <c r="K246" s="46"/>
      <c r="L246" s="46"/>
      <c r="M246" s="46"/>
      <c r="N246" s="46"/>
      <c r="O246" s="46"/>
      <c r="P246" s="46"/>
      <c r="Q246" s="46"/>
      <c r="R246" s="46"/>
      <c r="S246" s="46"/>
      <c r="T246" s="46"/>
      <c r="U246" s="46"/>
      <c r="V246" s="46"/>
      <c r="W246" s="46"/>
    </row>
    <row r="247" spans="1:23">
      <c r="A247" s="46"/>
      <c r="B247" s="46"/>
      <c r="C247" s="46"/>
      <c r="D247" s="46"/>
      <c r="E247" s="46"/>
      <c r="F247" s="46"/>
      <c r="G247" s="46"/>
      <c r="H247" s="46"/>
      <c r="I247" s="46"/>
      <c r="J247" s="46"/>
      <c r="K247" s="46"/>
      <c r="L247" s="46"/>
      <c r="M247" s="46"/>
      <c r="N247" s="46"/>
      <c r="O247" s="46"/>
      <c r="P247" s="46"/>
      <c r="Q247" s="46"/>
      <c r="R247" s="46"/>
      <c r="S247" s="46"/>
      <c r="T247" s="46"/>
      <c r="U247" s="46"/>
      <c r="V247" s="46"/>
      <c r="W247" s="46"/>
    </row>
    <row r="248" spans="1:23">
      <c r="A248" s="46"/>
      <c r="B248" s="46"/>
      <c r="C248" s="46"/>
      <c r="D248" s="46"/>
      <c r="E248" s="46"/>
      <c r="F248" s="46"/>
      <c r="G248" s="46"/>
      <c r="H248" s="46"/>
      <c r="I248" s="46"/>
      <c r="J248" s="46"/>
      <c r="K248" s="46"/>
      <c r="L248" s="46"/>
      <c r="M248" s="46"/>
      <c r="N248" s="46"/>
      <c r="O248" s="46"/>
      <c r="P248" s="46"/>
      <c r="Q248" s="46"/>
      <c r="R248" s="46"/>
      <c r="S248" s="46"/>
      <c r="T248" s="46"/>
      <c r="U248" s="46"/>
      <c r="V248" s="46"/>
      <c r="W248" s="46"/>
    </row>
    <row r="249" spans="1:23">
      <c r="A249" s="46"/>
      <c r="B249" s="46"/>
      <c r="C249" s="46"/>
      <c r="D249" s="46"/>
      <c r="E249" s="46"/>
      <c r="F249" s="46"/>
      <c r="G249" s="46"/>
      <c r="H249" s="46"/>
      <c r="I249" s="46"/>
      <c r="J249" s="46"/>
      <c r="K249" s="46"/>
      <c r="L249" s="46"/>
      <c r="M249" s="46"/>
      <c r="N249" s="46"/>
      <c r="O249" s="46"/>
      <c r="P249" s="46"/>
      <c r="Q249" s="46"/>
      <c r="R249" s="46"/>
      <c r="S249" s="46"/>
      <c r="T249" s="46"/>
      <c r="U249" s="46"/>
      <c r="V249" s="46"/>
      <c r="W249" s="46"/>
    </row>
    <row r="250" spans="1:23">
      <c r="A250" s="46"/>
      <c r="B250" s="46"/>
      <c r="C250" s="46"/>
      <c r="D250" s="46"/>
      <c r="E250" s="46"/>
      <c r="F250" s="46"/>
      <c r="G250" s="46"/>
      <c r="H250" s="46"/>
      <c r="I250" s="46"/>
      <c r="J250" s="46"/>
      <c r="K250" s="46"/>
      <c r="L250" s="46"/>
      <c r="M250" s="46"/>
      <c r="N250" s="46"/>
      <c r="O250" s="46"/>
      <c r="P250" s="46"/>
      <c r="Q250" s="46"/>
      <c r="R250" s="46"/>
      <c r="S250" s="46"/>
      <c r="T250" s="46"/>
      <c r="U250" s="46"/>
      <c r="V250" s="46"/>
      <c r="W250" s="46"/>
    </row>
    <row r="251" spans="1:23">
      <c r="A251" s="46"/>
      <c r="B251" s="46"/>
      <c r="C251" s="46"/>
      <c r="D251" s="46"/>
      <c r="E251" s="46"/>
      <c r="F251" s="46"/>
      <c r="G251" s="46"/>
      <c r="H251" s="46"/>
      <c r="I251" s="46"/>
      <c r="J251" s="46"/>
      <c r="K251" s="46"/>
      <c r="L251" s="46"/>
      <c r="M251" s="46"/>
      <c r="N251" s="46"/>
      <c r="O251" s="46"/>
      <c r="P251" s="46"/>
      <c r="Q251" s="46"/>
      <c r="R251" s="46"/>
      <c r="S251" s="46"/>
      <c r="T251" s="46"/>
      <c r="U251" s="46"/>
      <c r="V251" s="46"/>
      <c r="W251" s="46"/>
    </row>
    <row r="252" spans="1:23">
      <c r="A252" s="46"/>
      <c r="B252" s="46"/>
      <c r="C252" s="46"/>
      <c r="D252" s="46"/>
      <c r="E252" s="46"/>
      <c r="F252" s="46"/>
      <c r="G252" s="46"/>
      <c r="H252" s="46"/>
      <c r="I252" s="46"/>
      <c r="J252" s="46"/>
      <c r="K252" s="46"/>
      <c r="L252" s="46"/>
      <c r="M252" s="46"/>
      <c r="N252" s="46"/>
      <c r="O252" s="46"/>
      <c r="P252" s="46"/>
      <c r="Q252" s="46"/>
      <c r="R252" s="46"/>
      <c r="S252" s="46"/>
      <c r="T252" s="46"/>
      <c r="U252" s="46"/>
      <c r="V252" s="46"/>
      <c r="W252" s="46"/>
    </row>
    <row r="253" spans="1:23">
      <c r="A253" s="46"/>
      <c r="B253" s="46"/>
      <c r="C253" s="46"/>
      <c r="D253" s="46"/>
      <c r="E253" s="46"/>
      <c r="F253" s="46"/>
      <c r="G253" s="46"/>
      <c r="H253" s="46"/>
      <c r="I253" s="46"/>
      <c r="J253" s="46"/>
      <c r="K253" s="46"/>
      <c r="L253" s="46"/>
      <c r="M253" s="46"/>
      <c r="N253" s="46"/>
      <c r="O253" s="46"/>
      <c r="P253" s="46"/>
      <c r="Q253" s="46"/>
      <c r="R253" s="46"/>
      <c r="S253" s="46"/>
      <c r="T253" s="46"/>
      <c r="U253" s="46"/>
      <c r="V253" s="46"/>
      <c r="W253" s="46"/>
    </row>
    <row r="254" spans="1:23">
      <c r="A254" s="46"/>
      <c r="B254" s="46"/>
      <c r="C254" s="46"/>
      <c r="D254" s="46"/>
      <c r="E254" s="46"/>
      <c r="F254" s="46"/>
      <c r="G254" s="46"/>
      <c r="H254" s="46"/>
      <c r="I254" s="46"/>
      <c r="J254" s="46"/>
      <c r="K254" s="46"/>
      <c r="L254" s="46"/>
      <c r="M254" s="46"/>
      <c r="N254" s="46"/>
      <c r="O254" s="46"/>
      <c r="P254" s="46"/>
      <c r="Q254" s="46"/>
      <c r="R254" s="46"/>
      <c r="S254" s="46"/>
      <c r="T254" s="46"/>
      <c r="U254" s="46"/>
      <c r="V254" s="46"/>
      <c r="W254" s="46"/>
    </row>
    <row r="255" spans="1:23">
      <c r="A255" s="46"/>
      <c r="B255" s="46"/>
      <c r="C255" s="46"/>
      <c r="D255" s="46"/>
      <c r="E255" s="46"/>
      <c r="F255" s="46"/>
      <c r="G255" s="46"/>
      <c r="H255" s="46"/>
      <c r="I255" s="46"/>
      <c r="J255" s="46"/>
      <c r="K255" s="46"/>
      <c r="L255" s="46"/>
      <c r="M255" s="46"/>
      <c r="N255" s="46"/>
      <c r="O255" s="46"/>
      <c r="P255" s="46"/>
      <c r="Q255" s="46"/>
      <c r="R255" s="46"/>
      <c r="S255" s="46"/>
      <c r="T255" s="46"/>
      <c r="U255" s="46"/>
      <c r="V255" s="46"/>
      <c r="W255" s="46"/>
    </row>
    <row r="256" spans="1:23">
      <c r="A256" s="46"/>
      <c r="B256" s="46"/>
      <c r="C256" s="46"/>
      <c r="D256" s="46"/>
      <c r="E256" s="46"/>
      <c r="F256" s="46"/>
      <c r="G256" s="46"/>
      <c r="H256" s="46"/>
      <c r="I256" s="46"/>
      <c r="J256" s="46"/>
      <c r="K256" s="46"/>
      <c r="L256" s="46"/>
      <c r="M256" s="46"/>
      <c r="N256" s="46"/>
      <c r="O256" s="46"/>
      <c r="P256" s="46"/>
      <c r="Q256" s="46"/>
      <c r="R256" s="46"/>
      <c r="S256" s="46"/>
      <c r="T256" s="46"/>
      <c r="U256" s="46"/>
      <c r="V256" s="46"/>
      <c r="W256" s="46"/>
    </row>
    <row r="257" spans="1:23">
      <c r="A257" s="46"/>
      <c r="B257" s="46"/>
      <c r="C257" s="46"/>
      <c r="D257" s="46"/>
      <c r="E257" s="46"/>
      <c r="F257" s="46"/>
      <c r="G257" s="46"/>
      <c r="H257" s="46"/>
      <c r="I257" s="46"/>
      <c r="J257" s="46"/>
      <c r="K257" s="46"/>
      <c r="L257" s="46"/>
      <c r="M257" s="46"/>
      <c r="N257" s="46"/>
      <c r="O257" s="46"/>
      <c r="P257" s="46"/>
      <c r="Q257" s="46"/>
      <c r="R257" s="46"/>
      <c r="S257" s="46"/>
      <c r="T257" s="46"/>
      <c r="U257" s="46"/>
      <c r="V257" s="46"/>
      <c r="W257" s="46"/>
    </row>
    <row r="258" spans="1:23">
      <c r="A258" s="46"/>
      <c r="B258" s="46"/>
      <c r="C258" s="46"/>
      <c r="D258" s="46"/>
      <c r="E258" s="46"/>
      <c r="F258" s="46"/>
      <c r="G258" s="46"/>
      <c r="H258" s="46"/>
      <c r="I258" s="46"/>
      <c r="J258" s="46"/>
      <c r="K258" s="46"/>
      <c r="L258" s="46"/>
      <c r="M258" s="46"/>
      <c r="N258" s="46"/>
      <c r="O258" s="46"/>
      <c r="P258" s="46"/>
      <c r="Q258" s="46"/>
      <c r="R258" s="46"/>
      <c r="S258" s="46"/>
      <c r="T258" s="46"/>
      <c r="U258" s="46"/>
      <c r="V258" s="46"/>
      <c r="W258" s="46"/>
    </row>
    <row r="259" spans="1:23">
      <c r="A259" s="46"/>
      <c r="B259" s="46"/>
      <c r="C259" s="46"/>
      <c r="D259" s="46"/>
      <c r="E259" s="46"/>
      <c r="F259" s="46"/>
      <c r="G259" s="46"/>
      <c r="H259" s="46"/>
      <c r="I259" s="46"/>
      <c r="J259" s="46"/>
      <c r="K259" s="46"/>
      <c r="L259" s="46"/>
      <c r="M259" s="46"/>
      <c r="N259" s="46"/>
      <c r="O259" s="46"/>
      <c r="P259" s="46"/>
      <c r="Q259" s="46"/>
      <c r="R259" s="46"/>
      <c r="S259" s="46"/>
      <c r="T259" s="46"/>
      <c r="U259" s="46"/>
      <c r="V259" s="46"/>
      <c r="W259" s="46"/>
    </row>
    <row r="260" spans="1:23">
      <c r="A260" s="46"/>
      <c r="B260" s="46"/>
      <c r="C260" s="46"/>
      <c r="D260" s="46"/>
      <c r="E260" s="46"/>
      <c r="F260" s="46"/>
      <c r="G260" s="46"/>
      <c r="H260" s="46"/>
      <c r="I260" s="46"/>
      <c r="J260" s="46"/>
      <c r="K260" s="46"/>
      <c r="L260" s="46"/>
      <c r="M260" s="46"/>
      <c r="N260" s="46"/>
      <c r="O260" s="46"/>
      <c r="P260" s="46"/>
      <c r="Q260" s="46"/>
      <c r="R260" s="46"/>
      <c r="S260" s="46"/>
      <c r="T260" s="46"/>
      <c r="U260" s="46"/>
      <c r="V260" s="46"/>
      <c r="W260" s="46"/>
    </row>
    <row r="261" spans="1:23">
      <c r="A261" s="46"/>
      <c r="B261" s="46"/>
      <c r="C261" s="46"/>
      <c r="D261" s="46"/>
      <c r="E261" s="46"/>
      <c r="F261" s="46"/>
      <c r="G261" s="46"/>
      <c r="H261" s="46"/>
      <c r="I261" s="46"/>
      <c r="J261" s="46"/>
      <c r="K261" s="46"/>
      <c r="L261" s="46"/>
      <c r="M261" s="46"/>
      <c r="N261" s="46"/>
      <c r="O261" s="46"/>
      <c r="P261" s="46"/>
      <c r="Q261" s="46"/>
      <c r="R261" s="46"/>
      <c r="S261" s="46"/>
      <c r="T261" s="46"/>
      <c r="U261" s="46"/>
      <c r="V261" s="46"/>
      <c r="W261" s="46"/>
    </row>
    <row r="262" spans="1:23">
      <c r="A262" s="46"/>
      <c r="B262" s="46"/>
      <c r="C262" s="46"/>
      <c r="D262" s="46"/>
      <c r="E262" s="46"/>
      <c r="F262" s="46"/>
      <c r="G262" s="46"/>
      <c r="H262" s="46"/>
      <c r="I262" s="46"/>
      <c r="J262" s="46"/>
      <c r="K262" s="46"/>
      <c r="L262" s="46"/>
      <c r="M262" s="46"/>
      <c r="N262" s="46"/>
      <c r="O262" s="46"/>
      <c r="P262" s="46"/>
      <c r="Q262" s="46"/>
      <c r="R262" s="46"/>
      <c r="S262" s="46"/>
      <c r="T262" s="46"/>
      <c r="U262" s="46"/>
      <c r="V262" s="46"/>
      <c r="W262" s="46"/>
    </row>
    <row r="263" spans="1:23">
      <c r="A263" s="46"/>
      <c r="B263" s="46"/>
      <c r="C263" s="46"/>
      <c r="D263" s="46"/>
      <c r="E263" s="46"/>
      <c r="F263" s="46"/>
      <c r="G263" s="46"/>
      <c r="H263" s="46"/>
      <c r="I263" s="46"/>
      <c r="J263" s="46"/>
      <c r="K263" s="46"/>
      <c r="L263" s="46"/>
      <c r="M263" s="46"/>
      <c r="N263" s="46"/>
      <c r="O263" s="46"/>
      <c r="P263" s="46"/>
      <c r="Q263" s="46"/>
      <c r="R263" s="46"/>
      <c r="S263" s="46"/>
      <c r="T263" s="46"/>
      <c r="U263" s="46"/>
      <c r="V263" s="46"/>
      <c r="W263" s="46"/>
    </row>
    <row r="264" spans="1:23">
      <c r="A264" s="46"/>
      <c r="B264" s="46"/>
      <c r="C264" s="46"/>
      <c r="D264" s="46"/>
      <c r="E264" s="46"/>
      <c r="F264" s="46"/>
      <c r="G264" s="46"/>
      <c r="H264" s="46"/>
      <c r="I264" s="46"/>
      <c r="J264" s="46"/>
      <c r="K264" s="46"/>
      <c r="L264" s="46"/>
      <c r="M264" s="46"/>
      <c r="N264" s="46"/>
      <c r="O264" s="46"/>
      <c r="P264" s="46"/>
      <c r="Q264" s="46"/>
      <c r="R264" s="46"/>
      <c r="S264" s="46"/>
      <c r="T264" s="46"/>
      <c r="U264" s="46"/>
      <c r="V264" s="46"/>
      <c r="W264" s="46"/>
    </row>
    <row r="265" spans="1:23">
      <c r="A265" s="46"/>
      <c r="B265" s="168" t="s">
        <v>514</v>
      </c>
      <c r="C265" s="46"/>
      <c r="D265" s="46"/>
      <c r="E265" s="46"/>
      <c r="F265" s="46"/>
      <c r="G265" s="46"/>
      <c r="H265" s="46"/>
      <c r="I265" s="46"/>
      <c r="J265" s="46"/>
      <c r="K265" s="46"/>
      <c r="L265" s="46"/>
      <c r="M265" s="46"/>
      <c r="N265" s="46"/>
      <c r="O265" s="46"/>
      <c r="P265" s="46"/>
      <c r="Q265" s="46"/>
      <c r="R265" s="46"/>
      <c r="S265" s="46"/>
      <c r="T265" s="46"/>
      <c r="U265" s="46"/>
      <c r="V265" s="46"/>
      <c r="W265" s="46"/>
    </row>
    <row r="266" spans="1:23">
      <c r="A266" s="46"/>
      <c r="B266" s="46"/>
      <c r="C266" s="284" t="s">
        <v>567</v>
      </c>
      <c r="D266" s="46"/>
      <c r="E266" s="46"/>
      <c r="F266" s="46"/>
      <c r="G266" s="46"/>
      <c r="H266" s="46"/>
      <c r="I266" s="46"/>
      <c r="J266" s="46"/>
      <c r="K266" s="46"/>
      <c r="L266" s="46"/>
      <c r="M266" s="46"/>
      <c r="N266" s="46"/>
      <c r="O266" s="46"/>
      <c r="P266" s="46"/>
      <c r="Q266" s="46"/>
      <c r="R266" s="46"/>
      <c r="S266" s="46"/>
      <c r="T266" s="46"/>
      <c r="U266" s="46"/>
      <c r="V266" s="46"/>
      <c r="W266" s="46"/>
    </row>
    <row r="267" spans="1:23">
      <c r="A267" s="46"/>
      <c r="B267" s="46"/>
      <c r="C267" s="46"/>
      <c r="D267" s="46"/>
      <c r="E267" s="46"/>
      <c r="F267" s="46"/>
      <c r="G267" s="46"/>
      <c r="H267" s="46"/>
      <c r="I267" s="46"/>
      <c r="J267" s="46"/>
      <c r="K267" s="46"/>
      <c r="L267" s="46"/>
      <c r="M267" s="46"/>
      <c r="N267" s="46"/>
      <c r="O267" s="46"/>
      <c r="P267" s="46"/>
      <c r="Q267" s="46"/>
      <c r="R267" s="46"/>
      <c r="S267" s="46"/>
      <c r="T267" s="46"/>
      <c r="U267" s="46"/>
      <c r="V267" s="46"/>
      <c r="W267" s="46"/>
    </row>
    <row r="268" spans="1:23">
      <c r="A268" s="46"/>
      <c r="B268" s="46"/>
      <c r="C268" s="432"/>
      <c r="D268" s="432"/>
      <c r="E268" s="433" t="s">
        <v>520</v>
      </c>
      <c r="F268" s="433"/>
      <c r="G268" s="481"/>
      <c r="H268" s="481"/>
      <c r="I268" s="46"/>
      <c r="J268" s="46"/>
      <c r="K268" s="46"/>
      <c r="L268" s="46"/>
      <c r="M268" s="46"/>
      <c r="N268" s="46"/>
      <c r="O268" s="46"/>
      <c r="P268" s="46"/>
      <c r="Q268" s="46"/>
      <c r="R268" s="46"/>
      <c r="S268" s="46"/>
      <c r="T268" s="46"/>
      <c r="U268" s="46"/>
      <c r="V268" s="46"/>
    </row>
    <row r="269" spans="1:23" ht="52">
      <c r="A269" s="46"/>
      <c r="B269" s="46"/>
      <c r="C269" s="388" t="s">
        <v>521</v>
      </c>
      <c r="D269" s="482" t="s">
        <v>522</v>
      </c>
      <c r="E269" s="389" t="s">
        <v>523</v>
      </c>
      <c r="F269" s="262" t="s">
        <v>524</v>
      </c>
      <c r="G269" s="262" t="s">
        <v>525</v>
      </c>
      <c r="H269" s="388" t="s">
        <v>526</v>
      </c>
      <c r="I269" s="46"/>
      <c r="J269" s="46"/>
      <c r="K269" s="46"/>
      <c r="L269" s="46"/>
      <c r="M269" s="46"/>
      <c r="N269" s="46"/>
      <c r="O269" s="46"/>
      <c r="P269" s="46"/>
      <c r="Q269" s="46"/>
      <c r="R269" s="46"/>
      <c r="S269" s="46"/>
      <c r="T269" s="46"/>
      <c r="U269" s="46"/>
      <c r="V269" s="46"/>
    </row>
    <row r="270" spans="1:23" ht="36" customHeight="1">
      <c r="A270" s="46"/>
      <c r="B270" s="46"/>
      <c r="C270" s="639" t="s">
        <v>527</v>
      </c>
      <c r="D270" s="641" t="s">
        <v>528</v>
      </c>
      <c r="E270" s="642" t="s">
        <v>529</v>
      </c>
      <c r="F270" s="178" t="s">
        <v>531</v>
      </c>
      <c r="G270" s="643" t="s">
        <v>570</v>
      </c>
      <c r="H270" s="644" t="s">
        <v>533</v>
      </c>
      <c r="I270" s="81"/>
      <c r="J270" s="46"/>
      <c r="K270" s="284" t="s">
        <v>542</v>
      </c>
      <c r="L270" s="191"/>
      <c r="M270" s="191"/>
      <c r="N270" s="191"/>
      <c r="O270" s="191"/>
      <c r="P270" s="191"/>
      <c r="Q270" s="191"/>
      <c r="R270" s="191"/>
      <c r="S270" s="191"/>
      <c r="T270" s="191"/>
      <c r="U270" s="191"/>
      <c r="V270" s="191"/>
      <c r="W270" s="46"/>
    </row>
    <row r="271" spans="1:23" ht="20.149999999999999" customHeight="1">
      <c r="A271" s="46"/>
      <c r="B271" s="46"/>
      <c r="C271" s="640"/>
      <c r="D271" s="640"/>
      <c r="E271" s="440" t="s">
        <v>530</v>
      </c>
      <c r="F271" s="643" t="s">
        <v>532</v>
      </c>
      <c r="G271" s="645"/>
      <c r="H271" s="646"/>
      <c r="I271" s="85"/>
      <c r="J271" s="46"/>
      <c r="K271" s="191" t="s">
        <v>543</v>
      </c>
      <c r="L271" s="191"/>
      <c r="M271" s="191"/>
      <c r="N271" s="191"/>
      <c r="O271" s="191"/>
      <c r="P271" s="191"/>
      <c r="Q271" s="191"/>
      <c r="R271" s="191"/>
      <c r="S271" s="191"/>
      <c r="T271" s="191"/>
      <c r="U271" s="191"/>
      <c r="V271" s="191"/>
      <c r="W271" s="46"/>
    </row>
    <row r="272" spans="1:23">
      <c r="A272" s="46"/>
      <c r="B272" s="46"/>
      <c r="C272" s="636" t="s">
        <v>534</v>
      </c>
      <c r="D272" s="637"/>
      <c r="E272" s="637"/>
      <c r="F272" s="637"/>
      <c r="G272" s="324"/>
      <c r="H272" s="637"/>
      <c r="I272" s="638"/>
      <c r="J272" s="46"/>
      <c r="K272" s="191" t="s">
        <v>452</v>
      </c>
      <c r="L272" s="191"/>
      <c r="M272" s="191"/>
      <c r="N272" s="191"/>
      <c r="O272" s="191"/>
      <c r="P272" s="191"/>
      <c r="Q272" s="191"/>
      <c r="R272" s="191"/>
      <c r="S272" s="191"/>
      <c r="T272" s="191"/>
      <c r="U272" s="191"/>
      <c r="V272" s="191"/>
      <c r="W272" s="46"/>
    </row>
    <row r="273" spans="1:23" ht="15">
      <c r="A273" s="46"/>
      <c r="B273" s="46"/>
      <c r="C273" s="286" t="s">
        <v>535</v>
      </c>
      <c r="D273" s="212" t="s">
        <v>529</v>
      </c>
      <c r="E273" s="125" t="s">
        <v>536</v>
      </c>
      <c r="F273" s="125"/>
      <c r="G273" s="125"/>
      <c r="H273" s="125"/>
      <c r="I273" s="287"/>
      <c r="J273" s="46"/>
      <c r="K273" s="191" t="s">
        <v>540</v>
      </c>
      <c r="L273" s="191"/>
      <c r="M273" s="191"/>
      <c r="N273" s="191"/>
      <c r="O273" s="191"/>
      <c r="P273" s="191"/>
      <c r="Q273" s="191"/>
      <c r="R273" s="191"/>
      <c r="S273" s="191"/>
      <c r="T273" s="191"/>
      <c r="U273" s="191"/>
      <c r="V273" s="191"/>
      <c r="W273" s="46"/>
    </row>
    <row r="274" spans="1:23">
      <c r="A274" s="46"/>
      <c r="B274" s="46"/>
      <c r="C274" s="286"/>
      <c r="D274" s="212" t="s">
        <v>530</v>
      </c>
      <c r="E274" s="125" t="s">
        <v>537</v>
      </c>
      <c r="F274" s="125"/>
      <c r="G274" s="125"/>
      <c r="H274" s="125"/>
      <c r="I274" s="287"/>
      <c r="J274" s="46"/>
      <c r="K274" s="191" t="s">
        <v>544</v>
      </c>
      <c r="L274" s="191"/>
      <c r="M274" s="191"/>
      <c r="N274" s="191"/>
      <c r="O274" s="191"/>
      <c r="P274" s="191"/>
      <c r="Q274" s="191"/>
      <c r="R274" s="191"/>
      <c r="S274" s="191"/>
      <c r="T274" s="191"/>
      <c r="U274" s="191"/>
      <c r="V274" s="191"/>
      <c r="W274" s="46"/>
    </row>
    <row r="275" spans="1:23" ht="15.5">
      <c r="A275" s="46"/>
      <c r="B275" s="46"/>
      <c r="C275" s="286" t="s">
        <v>538</v>
      </c>
      <c r="D275" s="125"/>
      <c r="E275" s="125"/>
      <c r="F275" s="125"/>
      <c r="G275" s="125"/>
      <c r="H275" s="125"/>
      <c r="I275" s="287"/>
      <c r="J275" s="46"/>
      <c r="K275" s="289" t="s">
        <v>541</v>
      </c>
      <c r="L275" s="191"/>
      <c r="M275" s="191"/>
      <c r="N275" s="191"/>
      <c r="O275" s="191"/>
      <c r="P275" s="191"/>
      <c r="Q275" s="191"/>
      <c r="R275" s="191"/>
      <c r="S275" s="191"/>
      <c r="T275" s="191"/>
      <c r="U275" s="191"/>
      <c r="V275" s="191"/>
      <c r="W275" s="46"/>
    </row>
    <row r="276" spans="1:23">
      <c r="A276" s="46"/>
      <c r="B276" s="46"/>
      <c r="C276" s="286" t="s">
        <v>539</v>
      </c>
      <c r="D276" s="125"/>
      <c r="E276" s="125"/>
      <c r="F276" s="125"/>
      <c r="G276" s="125"/>
      <c r="H276" s="125"/>
      <c r="I276" s="287"/>
      <c r="J276" s="46"/>
      <c r="K276" s="191" t="s">
        <v>545</v>
      </c>
      <c r="L276" s="191"/>
      <c r="M276" s="191"/>
      <c r="N276" s="191"/>
      <c r="O276" s="191"/>
      <c r="P276" s="191"/>
      <c r="Q276" s="191"/>
      <c r="R276" s="191"/>
      <c r="S276" s="191"/>
      <c r="T276" s="191"/>
      <c r="U276" s="191"/>
      <c r="V276" s="191"/>
      <c r="W276" s="46"/>
    </row>
    <row r="277" spans="1:23" s="40" customFormat="1">
      <c r="A277" s="46"/>
      <c r="B277" s="46"/>
      <c r="C277" s="292" t="s">
        <v>547</v>
      </c>
      <c r="D277" s="125"/>
      <c r="E277" s="125"/>
      <c r="F277" s="125"/>
      <c r="G277" s="125"/>
      <c r="H277" s="125"/>
      <c r="I277" s="287"/>
      <c r="J277" s="46"/>
      <c r="K277" s="191"/>
      <c r="L277" s="191"/>
      <c r="M277" s="191"/>
      <c r="N277" s="191"/>
      <c r="O277" s="191"/>
      <c r="P277" s="191"/>
      <c r="Q277" s="191"/>
      <c r="R277" s="191"/>
      <c r="S277" s="191"/>
      <c r="T277" s="191"/>
      <c r="U277" s="191"/>
      <c r="V277" s="191"/>
      <c r="W277" s="46"/>
    </row>
    <row r="278" spans="1:23" s="40" customFormat="1">
      <c r="A278" s="46"/>
      <c r="B278" s="46"/>
      <c r="C278" s="292" t="s">
        <v>548</v>
      </c>
      <c r="D278" s="125"/>
      <c r="E278" s="125"/>
      <c r="F278" s="125"/>
      <c r="G278" s="125"/>
      <c r="H278" s="125"/>
      <c r="I278" s="287"/>
      <c r="J278" s="46"/>
      <c r="K278" s="191"/>
      <c r="L278" s="191"/>
      <c r="M278" s="191"/>
      <c r="N278" s="191"/>
      <c r="O278" s="191"/>
      <c r="P278" s="191"/>
      <c r="Q278" s="191"/>
      <c r="R278" s="191"/>
      <c r="S278" s="191"/>
      <c r="T278" s="191"/>
      <c r="U278" s="191"/>
      <c r="V278" s="191"/>
      <c r="W278" s="46"/>
    </row>
    <row r="279" spans="1:23" s="40" customFormat="1">
      <c r="A279" s="46"/>
      <c r="B279" s="46"/>
      <c r="C279" s="293" t="s">
        <v>569</v>
      </c>
      <c r="D279" s="131"/>
      <c r="E279" s="131"/>
      <c r="F279" s="131"/>
      <c r="G279" s="131"/>
      <c r="H279" s="131"/>
      <c r="I279" s="288"/>
      <c r="J279" s="46"/>
      <c r="K279" s="191"/>
      <c r="L279" s="191"/>
      <c r="M279" s="191"/>
      <c r="N279" s="191"/>
      <c r="O279" s="191"/>
      <c r="P279" s="191"/>
      <c r="Q279" s="191"/>
      <c r="R279" s="191"/>
      <c r="S279" s="191"/>
      <c r="T279" s="191"/>
      <c r="U279" s="191"/>
      <c r="V279" s="191"/>
      <c r="W279" s="46"/>
    </row>
    <row r="280" spans="1:23" ht="15">
      <c r="A280" s="46"/>
      <c r="B280" s="46"/>
      <c r="C280" s="191" t="s">
        <v>546</v>
      </c>
      <c r="D280" s="191"/>
      <c r="E280" s="191"/>
      <c r="F280" s="191"/>
      <c r="G280" s="191"/>
      <c r="H280" s="191"/>
      <c r="I280" s="191"/>
      <c r="J280" s="46"/>
      <c r="K280" s="191"/>
      <c r="L280" s="191"/>
      <c r="M280" s="191"/>
      <c r="N280" s="191"/>
      <c r="O280" s="191"/>
      <c r="P280" s="191"/>
      <c r="Q280" s="191"/>
      <c r="R280" s="191"/>
      <c r="S280" s="191"/>
      <c r="T280" s="191"/>
      <c r="U280" s="191"/>
      <c r="V280" s="191"/>
      <c r="W280" s="46"/>
    </row>
    <row r="281" spans="1:23">
      <c r="A281" s="46"/>
      <c r="B281" s="46"/>
      <c r="C281" s="46"/>
      <c r="D281" s="191"/>
      <c r="E281" s="191"/>
      <c r="F281" s="191"/>
      <c r="G281" s="191"/>
      <c r="H281" s="191"/>
      <c r="I281" s="191"/>
      <c r="J281" s="46"/>
      <c r="K281" s="191"/>
      <c r="L281" s="191"/>
      <c r="M281" s="191"/>
      <c r="N281" s="191"/>
      <c r="O281" s="191"/>
      <c r="P281" s="191"/>
      <c r="Q281" s="191"/>
      <c r="R281" s="191"/>
      <c r="S281" s="191"/>
      <c r="T281" s="191"/>
      <c r="U281" s="191"/>
      <c r="V281" s="191"/>
      <c r="W281" s="46"/>
    </row>
    <row r="282" spans="1:23" ht="15">
      <c r="A282" s="46"/>
      <c r="B282" s="46"/>
      <c r="C282" s="46"/>
      <c r="D282" s="191"/>
      <c r="E282" s="191"/>
      <c r="F282" s="191"/>
      <c r="G282" s="191"/>
      <c r="H282" s="267" t="s">
        <v>516</v>
      </c>
      <c r="I282" s="290" t="s">
        <v>515</v>
      </c>
      <c r="J282" s="191"/>
      <c r="K282" s="46"/>
      <c r="L282" s="46"/>
      <c r="M282" s="46"/>
      <c r="N282" s="46"/>
      <c r="O282" s="46"/>
      <c r="P282" s="46"/>
      <c r="Q282" s="46"/>
      <c r="R282" s="46"/>
      <c r="S282" s="46"/>
      <c r="T282" s="46"/>
      <c r="U282" s="46"/>
      <c r="V282" s="46"/>
      <c r="W282" s="46"/>
    </row>
    <row r="283" spans="1:23" ht="15">
      <c r="A283" s="46"/>
      <c r="B283" s="46"/>
      <c r="C283" s="46"/>
      <c r="D283" s="191"/>
      <c r="E283" s="191"/>
      <c r="F283" s="191"/>
      <c r="G283" s="191"/>
      <c r="H283" s="267" t="s">
        <v>517</v>
      </c>
      <c r="I283" s="191" t="s">
        <v>826</v>
      </c>
      <c r="J283" s="191"/>
      <c r="K283" s="46"/>
      <c r="L283" s="46"/>
      <c r="M283" s="46"/>
      <c r="N283" s="46"/>
      <c r="O283" s="46"/>
      <c r="P283" s="46"/>
      <c r="Q283" s="46"/>
      <c r="R283" s="46"/>
      <c r="S283" s="46"/>
      <c r="T283" s="46"/>
      <c r="U283" s="46"/>
      <c r="V283" s="46"/>
      <c r="W283" s="46"/>
    </row>
    <row r="284" spans="1:23" ht="15">
      <c r="A284" s="46"/>
      <c r="B284" s="46"/>
      <c r="C284" s="46"/>
      <c r="D284" s="46"/>
      <c r="E284" s="46"/>
      <c r="F284" s="46"/>
      <c r="G284" s="46"/>
      <c r="H284" s="46"/>
      <c r="I284" s="268" t="s">
        <v>519</v>
      </c>
      <c r="J284" s="46"/>
      <c r="K284" s="46"/>
      <c r="L284" s="46"/>
      <c r="M284" s="46"/>
      <c r="N284" s="46"/>
      <c r="O284" s="46"/>
      <c r="P284" s="46"/>
      <c r="Q284" s="46"/>
      <c r="R284" s="46"/>
      <c r="S284" s="46"/>
      <c r="T284" s="46"/>
      <c r="U284" s="46"/>
      <c r="V284" s="46"/>
      <c r="W284" s="46"/>
    </row>
    <row r="285" spans="1:23">
      <c r="A285" s="46"/>
      <c r="B285" s="46"/>
      <c r="C285" s="46" t="s">
        <v>549</v>
      </c>
      <c r="D285" s="46"/>
      <c r="E285" s="46"/>
      <c r="F285" s="46"/>
      <c r="G285" s="46"/>
      <c r="H285" s="46"/>
      <c r="I285" s="46"/>
      <c r="J285" s="46"/>
      <c r="K285" s="46"/>
      <c r="L285" s="46"/>
      <c r="M285" s="46"/>
      <c r="N285" s="46"/>
      <c r="O285" s="46"/>
      <c r="P285" s="46"/>
      <c r="Q285" s="46"/>
      <c r="R285" s="46"/>
      <c r="S285" s="46"/>
      <c r="T285" s="46"/>
      <c r="U285" s="46"/>
      <c r="V285" s="46"/>
      <c r="W285" s="46"/>
    </row>
    <row r="286" spans="1:23" ht="18.5">
      <c r="A286" s="46"/>
      <c r="B286" s="46"/>
      <c r="C286" s="46" t="s">
        <v>568</v>
      </c>
      <c r="D286" s="46" t="s">
        <v>566</v>
      </c>
      <c r="E286" s="307"/>
      <c r="F286" s="307"/>
      <c r="G286" s="191" t="s">
        <v>550</v>
      </c>
      <c r="H286" s="191"/>
      <c r="I286" s="191"/>
      <c r="J286" s="191"/>
      <c r="K286" s="291"/>
      <c r="L286" s="191"/>
      <c r="M286" s="191"/>
      <c r="N286" s="191"/>
      <c r="O286" s="191"/>
      <c r="P286" s="191"/>
      <c r="Q286" s="191"/>
      <c r="R286" s="191"/>
      <c r="S286" s="191"/>
      <c r="T286" s="191"/>
      <c r="U286" s="191"/>
      <c r="V286" s="191"/>
      <c r="W286" s="191"/>
    </row>
    <row r="287" spans="1:23" ht="15">
      <c r="A287" s="46"/>
      <c r="B287" s="46"/>
      <c r="C287" s="46"/>
      <c r="D287" s="46"/>
      <c r="E287" s="46"/>
      <c r="F287" s="46"/>
      <c r="G287" s="46"/>
      <c r="H287" s="191" t="s">
        <v>552</v>
      </c>
      <c r="I287" s="46"/>
      <c r="J287" s="46"/>
      <c r="K287" s="46"/>
      <c r="L287" s="46"/>
      <c r="M287" s="46"/>
      <c r="N287" s="46"/>
      <c r="O287" s="46"/>
      <c r="P287" s="46"/>
      <c r="Q287" s="46"/>
      <c r="R287" s="46"/>
      <c r="S287" s="46"/>
      <c r="T287" s="46"/>
      <c r="U287" s="46"/>
      <c r="V287" s="46"/>
      <c r="W287" s="46"/>
    </row>
    <row r="288" spans="1:23" ht="15">
      <c r="A288" s="46"/>
      <c r="B288" s="46"/>
      <c r="C288" s="191" t="s">
        <v>551</v>
      </c>
      <c r="D288" s="191"/>
      <c r="E288" s="191" t="s">
        <v>676</v>
      </c>
      <c r="F288" s="191"/>
      <c r="G288" s="191"/>
      <c r="H288" s="191"/>
      <c r="I288" s="191"/>
      <c r="J288" s="46"/>
      <c r="K288" s="46"/>
      <c r="L288" s="46"/>
      <c r="M288" s="46"/>
      <c r="N288" s="46"/>
      <c r="O288" s="46"/>
      <c r="P288" s="46"/>
      <c r="Q288" s="46"/>
      <c r="R288" s="46"/>
      <c r="S288" s="46"/>
      <c r="T288" s="46"/>
      <c r="U288" s="46"/>
      <c r="V288" s="46"/>
      <c r="W288" s="46"/>
    </row>
    <row r="289" spans="1:23">
      <c r="A289" s="46"/>
      <c r="B289" s="46"/>
      <c r="C289" s="46"/>
      <c r="D289" s="46"/>
      <c r="E289" s="46"/>
      <c r="F289" s="46"/>
      <c r="G289" s="46"/>
      <c r="H289" s="46"/>
      <c r="I289" s="46"/>
      <c r="J289" s="46"/>
      <c r="K289" s="46"/>
      <c r="L289" s="46"/>
      <c r="M289" s="46"/>
      <c r="N289" s="46"/>
      <c r="O289" s="46"/>
      <c r="P289" s="46"/>
      <c r="Q289" s="46"/>
      <c r="R289" s="46"/>
      <c r="S289" s="46"/>
      <c r="T289" s="46"/>
      <c r="U289" s="46"/>
      <c r="V289" s="46"/>
      <c r="W289" s="46"/>
    </row>
    <row r="290" spans="1:23" ht="16.5">
      <c r="A290" s="46"/>
      <c r="B290" s="46"/>
      <c r="C290" s="271" t="s">
        <v>554</v>
      </c>
      <c r="D290" s="46"/>
      <c r="E290" s="46"/>
      <c r="F290" s="46"/>
      <c r="G290" s="46" t="s">
        <v>591</v>
      </c>
      <c r="H290" s="46"/>
      <c r="I290" s="46"/>
      <c r="J290" s="46"/>
      <c r="K290" s="46"/>
      <c r="L290" s="46"/>
      <c r="M290" s="46"/>
      <c r="N290" s="46"/>
      <c r="O290" s="46"/>
      <c r="P290" s="46"/>
      <c r="Q290" s="46"/>
      <c r="R290" s="46"/>
      <c r="S290" s="46"/>
      <c r="T290" s="46"/>
      <c r="U290" s="46"/>
      <c r="V290" s="46"/>
      <c r="W290" s="46"/>
    </row>
    <row r="291" spans="1:23">
      <c r="A291" s="46"/>
      <c r="B291" s="46"/>
      <c r="C291" s="46"/>
      <c r="D291" s="46"/>
      <c r="E291" s="46"/>
      <c r="F291" s="46"/>
      <c r="G291" s="46"/>
      <c r="H291" s="46"/>
      <c r="I291" s="46"/>
      <c r="J291" s="46"/>
      <c r="K291" s="46"/>
      <c r="L291" s="46"/>
      <c r="M291" s="46"/>
      <c r="N291" s="46"/>
      <c r="O291" s="46"/>
      <c r="P291" s="46"/>
      <c r="Q291" s="46"/>
      <c r="R291" s="46"/>
      <c r="S291" s="46"/>
      <c r="T291" s="46"/>
      <c r="U291" s="46"/>
      <c r="V291" s="46"/>
      <c r="W291" s="46"/>
    </row>
    <row r="292" spans="1:23">
      <c r="A292" s="46"/>
      <c r="B292" s="46"/>
      <c r="C292" s="261" t="s">
        <v>491</v>
      </c>
      <c r="D292" s="261" t="s">
        <v>30</v>
      </c>
      <c r="E292" s="261" t="s">
        <v>18</v>
      </c>
      <c r="F292" s="46"/>
      <c r="G292" s="109" t="s">
        <v>825</v>
      </c>
      <c r="H292" s="264"/>
      <c r="I292" s="125"/>
      <c r="J292" s="125"/>
      <c r="K292" s="125"/>
      <c r="L292" s="125"/>
      <c r="M292" s="191"/>
      <c r="N292" s="191"/>
      <c r="O292" s="191"/>
      <c r="P292" s="191"/>
      <c r="Q292" s="46"/>
      <c r="R292" s="46"/>
      <c r="S292" s="46"/>
      <c r="T292" s="46"/>
      <c r="U292" s="46"/>
      <c r="V292" s="46"/>
      <c r="W292" s="46"/>
    </row>
    <row r="293" spans="1:23">
      <c r="A293" s="46"/>
      <c r="B293" s="46"/>
      <c r="C293" s="435" t="s">
        <v>492</v>
      </c>
      <c r="D293" s="280">
        <v>1</v>
      </c>
      <c r="E293" s="280" t="s">
        <v>555</v>
      </c>
      <c r="F293" s="46"/>
      <c r="G293" s="109" t="s">
        <v>556</v>
      </c>
      <c r="H293" s="109"/>
      <c r="I293" s="85"/>
      <c r="J293" s="125"/>
      <c r="K293" s="125"/>
      <c r="L293" s="125"/>
      <c r="M293" s="191"/>
      <c r="N293" s="191"/>
      <c r="O293" s="191"/>
      <c r="P293" s="191"/>
      <c r="Q293" s="46"/>
      <c r="R293" s="46"/>
      <c r="S293" s="46"/>
      <c r="T293" s="46"/>
      <c r="U293" s="46"/>
      <c r="V293" s="46"/>
      <c r="W293" s="46"/>
    </row>
    <row r="294" spans="1:23">
      <c r="A294" s="46"/>
      <c r="B294" s="46"/>
      <c r="C294" s="436"/>
      <c r="D294" s="479">
        <v>3600</v>
      </c>
      <c r="E294" s="280" t="s">
        <v>20</v>
      </c>
      <c r="F294" s="109"/>
      <c r="G294" s="264"/>
      <c r="H294" s="109"/>
      <c r="I294" s="85"/>
      <c r="J294" s="125"/>
      <c r="K294" s="125"/>
      <c r="L294" s="125"/>
      <c r="M294" s="191"/>
      <c r="N294" s="191"/>
      <c r="O294" s="191"/>
      <c r="P294" s="191"/>
      <c r="Q294" s="46"/>
      <c r="R294" s="46"/>
      <c r="S294" s="46"/>
      <c r="T294" s="46"/>
      <c r="U294" s="46"/>
      <c r="V294" s="46"/>
      <c r="W294" s="46"/>
    </row>
    <row r="295" spans="1:23">
      <c r="A295" s="46"/>
      <c r="B295" s="46"/>
      <c r="C295" s="480" t="s">
        <v>495</v>
      </c>
      <c r="D295" s="280">
        <f>'Passby Data Set 1 Output'!D14</f>
        <v>147.4</v>
      </c>
      <c r="E295" s="280" t="s">
        <v>15</v>
      </c>
      <c r="F295" s="191"/>
      <c r="G295" s="191"/>
      <c r="H295" s="191"/>
      <c r="I295" s="191"/>
      <c r="J295" s="191"/>
      <c r="K295" s="191"/>
      <c r="L295" s="191"/>
      <c r="M295" s="191"/>
      <c r="N295" s="191"/>
      <c r="O295" s="191"/>
      <c r="P295" s="191"/>
      <c r="Q295" s="46"/>
      <c r="R295" s="46"/>
      <c r="S295" s="46"/>
      <c r="T295" s="46"/>
      <c r="U295" s="46"/>
      <c r="V295" s="46"/>
      <c r="W295" s="46"/>
    </row>
    <row r="296" spans="1:23">
      <c r="A296" s="46"/>
      <c r="B296" s="46"/>
      <c r="C296" s="272" t="s">
        <v>496</v>
      </c>
      <c r="D296" s="280">
        <f>'Passby Data Set 2 Output'!D14</f>
        <v>200.19</v>
      </c>
      <c r="E296" s="280" t="s">
        <v>15</v>
      </c>
      <c r="F296" s="191"/>
      <c r="G296" s="191"/>
      <c r="H296" s="191"/>
      <c r="I296" s="191"/>
      <c r="J296" s="191"/>
      <c r="K296" s="191"/>
      <c r="L296" s="191"/>
      <c r="M296" s="191"/>
      <c r="N296" s="191"/>
      <c r="O296" s="191"/>
      <c r="P296" s="191"/>
      <c r="Q296" s="46"/>
      <c r="R296" s="46"/>
      <c r="S296" s="46"/>
      <c r="T296" s="46"/>
      <c r="U296" s="46"/>
      <c r="V296" s="46"/>
      <c r="W296" s="46"/>
    </row>
    <row r="297" spans="1:23">
      <c r="A297" s="46"/>
      <c r="B297" s="46"/>
      <c r="C297" s="272" t="s">
        <v>497</v>
      </c>
      <c r="D297" s="280">
        <f>'Passby Data Set 4 Output'!D14</f>
        <v>200</v>
      </c>
      <c r="E297" s="280" t="s">
        <v>15</v>
      </c>
      <c r="F297" s="191"/>
      <c r="G297" s="191"/>
      <c r="H297" s="191"/>
      <c r="I297" s="191"/>
      <c r="J297" s="191"/>
      <c r="K297" s="191"/>
      <c r="L297" s="191"/>
      <c r="M297" s="191"/>
      <c r="N297" s="191"/>
      <c r="O297" s="191"/>
      <c r="P297" s="191"/>
      <c r="Q297" s="46"/>
      <c r="R297" s="46"/>
      <c r="S297" s="46"/>
      <c r="T297" s="46"/>
      <c r="U297" s="46"/>
      <c r="V297" s="46"/>
      <c r="W297" s="46"/>
    </row>
    <row r="298" spans="1:23">
      <c r="A298" s="46"/>
      <c r="B298" s="46"/>
      <c r="C298" s="191"/>
      <c r="D298" s="191"/>
      <c r="E298" s="191"/>
      <c r="F298" s="191"/>
      <c r="G298" s="191"/>
      <c r="H298" s="191"/>
      <c r="I298" s="191"/>
      <c r="J298" s="191"/>
      <c r="K298" s="191"/>
      <c r="L298" s="191"/>
      <c r="M298" s="191"/>
      <c r="N298" s="191"/>
      <c r="O298" s="191"/>
      <c r="P298" s="191"/>
      <c r="Q298" s="46"/>
      <c r="R298" s="46"/>
      <c r="S298" s="46"/>
      <c r="T298" s="46"/>
      <c r="U298" s="46"/>
      <c r="V298" s="46"/>
      <c r="W298" s="46"/>
    </row>
    <row r="299" spans="1:23" ht="28.5" customHeight="1">
      <c r="A299" s="46"/>
      <c r="B299" s="46"/>
      <c r="C299" s="464"/>
      <c r="D299" s="464"/>
      <c r="E299" s="388" t="s">
        <v>494</v>
      </c>
      <c r="F299" s="261">
        <v>80</v>
      </c>
      <c r="G299" s="385" t="s">
        <v>19</v>
      </c>
      <c r="H299" s="388" t="s">
        <v>494</v>
      </c>
      <c r="I299" s="383">
        <v>250</v>
      </c>
      <c r="J299" s="240" t="s">
        <v>19</v>
      </c>
      <c r="K299" s="388" t="s">
        <v>494</v>
      </c>
      <c r="L299" s="240">
        <v>300</v>
      </c>
      <c r="M299" s="240" t="s">
        <v>19</v>
      </c>
      <c r="N299" s="388" t="s">
        <v>494</v>
      </c>
      <c r="O299" s="240">
        <v>350</v>
      </c>
      <c r="P299" s="240" t="s">
        <v>19</v>
      </c>
      <c r="Q299" s="46"/>
      <c r="R299" s="46"/>
      <c r="S299" s="46"/>
      <c r="T299" s="46"/>
      <c r="U299" s="46"/>
      <c r="V299" s="46"/>
      <c r="W299" s="46"/>
    </row>
    <row r="300" spans="1:23">
      <c r="A300" s="46"/>
      <c r="B300" s="46"/>
      <c r="C300" s="467" t="s">
        <v>490</v>
      </c>
      <c r="D300" s="467" t="s">
        <v>18</v>
      </c>
      <c r="E300" s="471"/>
      <c r="F300" s="468">
        <f>F299*1000/3600</f>
        <v>22.222222222222221</v>
      </c>
      <c r="G300" s="261" t="s">
        <v>243</v>
      </c>
      <c r="H300" s="471"/>
      <c r="I300" s="275">
        <f>I299*1000/3600</f>
        <v>69.444444444444443</v>
      </c>
      <c r="J300" s="382" t="s">
        <v>243</v>
      </c>
      <c r="K300" s="471"/>
      <c r="L300" s="470">
        <f>L299*1000/3600</f>
        <v>83.333333333333329</v>
      </c>
      <c r="M300" s="382" t="s">
        <v>243</v>
      </c>
      <c r="N300" s="471"/>
      <c r="O300" s="470">
        <f>O299*1000/3600</f>
        <v>97.222222222222229</v>
      </c>
      <c r="P300" s="240" t="s">
        <v>243</v>
      </c>
      <c r="Q300" s="46"/>
      <c r="R300" s="46"/>
      <c r="S300" s="46"/>
      <c r="T300" s="46"/>
      <c r="U300" s="46"/>
      <c r="V300" s="46"/>
      <c r="W300" s="46"/>
    </row>
    <row r="301" spans="1:23" ht="26">
      <c r="A301" s="46"/>
      <c r="B301" s="46"/>
      <c r="C301" s="465"/>
      <c r="D301" s="465"/>
      <c r="E301" s="389" t="s">
        <v>10</v>
      </c>
      <c r="F301" s="262" t="s">
        <v>374</v>
      </c>
      <c r="G301" s="262" t="s">
        <v>489</v>
      </c>
      <c r="H301" s="262" t="s">
        <v>10</v>
      </c>
      <c r="I301" s="262" t="s">
        <v>374</v>
      </c>
      <c r="J301" s="262" t="s">
        <v>489</v>
      </c>
      <c r="K301" s="389" t="s">
        <v>10</v>
      </c>
      <c r="L301" s="262" t="s">
        <v>374</v>
      </c>
      <c r="M301" s="262" t="s">
        <v>489</v>
      </c>
      <c r="N301" s="389" t="s">
        <v>10</v>
      </c>
      <c r="O301" s="262" t="s">
        <v>374</v>
      </c>
      <c r="P301" s="262" t="s">
        <v>489</v>
      </c>
      <c r="Q301" s="46"/>
      <c r="R301" s="46"/>
      <c r="S301" s="46"/>
      <c r="T301" s="46"/>
      <c r="U301" s="46"/>
      <c r="V301" s="46"/>
      <c r="W301" s="46"/>
    </row>
    <row r="302" spans="1:23">
      <c r="A302" s="46"/>
      <c r="B302" s="46"/>
      <c r="C302" s="276" t="s">
        <v>755</v>
      </c>
      <c r="D302" s="23" t="s">
        <v>20</v>
      </c>
      <c r="E302" s="274">
        <f>D295/F300</f>
        <v>6.6330000000000009</v>
      </c>
      <c r="F302" s="274">
        <f>D296/F300</f>
        <v>9.0085499999999996</v>
      </c>
      <c r="G302" s="274">
        <f>D297/F300</f>
        <v>9</v>
      </c>
      <c r="H302" s="274">
        <f>D295/I300</f>
        <v>2.12256</v>
      </c>
      <c r="I302" s="274">
        <f>D296/I300</f>
        <v>2.882736</v>
      </c>
      <c r="J302" s="274">
        <f>D297/I300</f>
        <v>2.88</v>
      </c>
      <c r="K302" s="274">
        <f>D295/L300</f>
        <v>1.7688000000000001</v>
      </c>
      <c r="L302" s="274">
        <f>D296/L300</f>
        <v>2.4022800000000002</v>
      </c>
      <c r="M302" s="274">
        <f>D297/L300</f>
        <v>2.4000000000000004</v>
      </c>
      <c r="N302" s="274">
        <f>D295/O300</f>
        <v>1.5161142857142857</v>
      </c>
      <c r="O302" s="274">
        <f>D296/O300</f>
        <v>2.0590971428571425</v>
      </c>
      <c r="P302" s="274">
        <f>D297/O300</f>
        <v>2.0571428571428569</v>
      </c>
      <c r="Q302" s="46"/>
      <c r="R302" s="46"/>
      <c r="S302" s="46"/>
      <c r="T302" s="46"/>
      <c r="U302" s="46"/>
      <c r="V302" s="46"/>
      <c r="W302" s="46"/>
    </row>
    <row r="303" spans="1:23" ht="28">
      <c r="A303" s="46"/>
      <c r="B303" s="46"/>
      <c r="C303" s="277" t="s">
        <v>824</v>
      </c>
      <c r="D303" s="278"/>
      <c r="E303" s="279">
        <f>E302/$D$294</f>
        <v>1.8425000000000002E-3</v>
      </c>
      <c r="F303" s="279">
        <f t="shared" ref="F303:P303" si="17">F302/$D$294</f>
        <v>2.5023749999999998E-3</v>
      </c>
      <c r="G303" s="279">
        <f t="shared" si="17"/>
        <v>2.5000000000000001E-3</v>
      </c>
      <c r="H303" s="279">
        <f t="shared" si="17"/>
        <v>5.8960000000000002E-4</v>
      </c>
      <c r="I303" s="279">
        <f t="shared" si="17"/>
        <v>8.0075999999999997E-4</v>
      </c>
      <c r="J303" s="279">
        <f t="shared" si="17"/>
        <v>7.9999999999999993E-4</v>
      </c>
      <c r="K303" s="279">
        <f t="shared" si="17"/>
        <v>4.9133333333333342E-4</v>
      </c>
      <c r="L303" s="279">
        <f t="shared" si="17"/>
        <v>6.6730000000000001E-4</v>
      </c>
      <c r="M303" s="279">
        <f t="shared" si="17"/>
        <v>6.6666666666666675E-4</v>
      </c>
      <c r="N303" s="279">
        <f t="shared" si="17"/>
        <v>4.2114285714285713E-4</v>
      </c>
      <c r="O303" s="279">
        <f t="shared" si="17"/>
        <v>5.7197142857142846E-4</v>
      </c>
      <c r="P303" s="279">
        <f t="shared" si="17"/>
        <v>5.7142857142857136E-4</v>
      </c>
      <c r="Q303" s="46"/>
      <c r="R303" s="46"/>
      <c r="S303" s="46"/>
      <c r="T303" s="46"/>
      <c r="U303" s="46"/>
      <c r="V303" s="46"/>
      <c r="W303" s="46"/>
    </row>
    <row r="304" spans="1:23" ht="15">
      <c r="A304" s="46"/>
      <c r="B304" s="46"/>
      <c r="C304" s="276" t="s">
        <v>789</v>
      </c>
      <c r="D304" s="23" t="s">
        <v>28</v>
      </c>
      <c r="E304" s="476">
        <f>'Passby Data Set 1 Output'!I159</f>
        <v>75.176457789150788</v>
      </c>
      <c r="F304" s="476">
        <f>'Passby Data Set 2 Output'!I166</f>
        <v>68.461245093780818</v>
      </c>
      <c r="G304" s="476">
        <f>'Passby Data Set 5 Output'!I162</f>
        <v>65.827910806626733</v>
      </c>
      <c r="H304" s="274">
        <f>'Passby Data Set 1 Output'!I162</f>
        <v>87.853183623834411</v>
      </c>
      <c r="I304" s="274">
        <f>'Passby Data Set 2 Output'!I169</f>
        <v>82.527383906322811</v>
      </c>
      <c r="J304" s="274">
        <f>'Passby Data Set 5 Output'!I165</f>
        <v>80.30122533362939</v>
      </c>
      <c r="K304" s="274">
        <f>'Passby Data Set 1 Output'!I163</f>
        <v>90.679488192618223</v>
      </c>
      <c r="L304" s="274">
        <f>'Passby Data Set 2 Output'!I170</f>
        <v>85.762339350947343</v>
      </c>
      <c r="M304" s="274">
        <f>'Passby Data Set 5 Output'!I166</f>
        <v>83.655938341330582</v>
      </c>
      <c r="N304" s="476">
        <f>'Passby Data Set 1 Output'!I164</f>
        <v>93.427185404652278</v>
      </c>
      <c r="O304" s="476">
        <f>'Passby Data Set 2 Output'!I171</f>
        <v>88.91868743882209</v>
      </c>
      <c r="P304" s="274">
        <f>'Passby Data Set 5 Output'!I167</f>
        <v>86.932043992282004</v>
      </c>
      <c r="Q304" s="46"/>
      <c r="R304" s="46"/>
      <c r="S304" s="46"/>
      <c r="T304" s="46"/>
      <c r="U304" s="46"/>
      <c r="V304" s="46"/>
      <c r="W304" s="46"/>
    </row>
    <row r="305" spans="1:23" ht="15">
      <c r="A305" s="46"/>
      <c r="B305" s="46"/>
      <c r="C305" s="483" t="s">
        <v>557</v>
      </c>
      <c r="D305" s="486"/>
      <c r="E305" s="474"/>
      <c r="F305" s="478"/>
      <c r="G305" s="478"/>
      <c r="H305" s="475" t="s">
        <v>558</v>
      </c>
      <c r="I305" s="472"/>
      <c r="J305" s="472"/>
      <c r="K305" s="472"/>
      <c r="L305" s="472"/>
      <c r="M305" s="474"/>
      <c r="N305" s="478"/>
      <c r="O305" s="478"/>
      <c r="P305" s="475"/>
      <c r="Q305" s="46"/>
      <c r="R305" s="46"/>
      <c r="S305" s="46"/>
      <c r="T305" s="46"/>
      <c r="U305" s="46"/>
      <c r="V305" s="46"/>
      <c r="W305" s="46"/>
    </row>
    <row r="306" spans="1:23">
      <c r="A306" s="46"/>
      <c r="B306" s="46"/>
      <c r="C306" s="647">
        <v>8</v>
      </c>
      <c r="D306" s="648"/>
      <c r="E306" s="484">
        <f>10*LOG10($C$169*E303*10^(E304/10))</f>
        <v>56.861432624381123</v>
      </c>
      <c r="F306" s="477">
        <f t="shared" ref="F306:P306" si="18">10*LOG10($C$169*F303*10^(F304/10))</f>
        <v>51.475668889485164</v>
      </c>
      <c r="G306" s="477">
        <f t="shared" si="18"/>
        <v>48.838210763266552</v>
      </c>
      <c r="H306" s="274">
        <f t="shared" si="18"/>
        <v>64.589658242263809</v>
      </c>
      <c r="I306" s="274">
        <f t="shared" si="18"/>
        <v>60.593307485226205</v>
      </c>
      <c r="J306" s="274">
        <f t="shared" si="18"/>
        <v>58.363025073468258</v>
      </c>
      <c r="K306" s="274">
        <f t="shared" si="18"/>
        <v>66.624150350571355</v>
      </c>
      <c r="L306" s="274">
        <f t="shared" si="18"/>
        <v>63.036450469374486</v>
      </c>
      <c r="M306" s="274">
        <f t="shared" si="18"/>
        <v>60.925925620693214</v>
      </c>
      <c r="N306" s="477">
        <f t="shared" si="18"/>
        <v>68.702379666299294</v>
      </c>
      <c r="O306" s="477">
        <f t="shared" si="18"/>
        <v>65.523330660943117</v>
      </c>
      <c r="P306" s="274">
        <f t="shared" si="18"/>
        <v>63.532563375338498</v>
      </c>
      <c r="Q306" s="46"/>
      <c r="R306" s="46"/>
      <c r="S306" s="46"/>
      <c r="T306" s="46"/>
      <c r="U306" s="46"/>
      <c r="V306" s="46"/>
      <c r="W306" s="46"/>
    </row>
    <row r="307" spans="1:23">
      <c r="A307" s="46"/>
      <c r="B307" s="46"/>
      <c r="C307" s="647">
        <v>16</v>
      </c>
      <c r="D307" s="648"/>
      <c r="E307" s="485">
        <f>10*LOG10($C$170*E303*10^(E304/10))</f>
        <v>59.871732581020936</v>
      </c>
      <c r="F307" s="274">
        <f t="shared" ref="F307:P307" si="19">10*LOG10($C$170*F303*10^(F304/10))</f>
        <v>54.485968846124976</v>
      </c>
      <c r="G307" s="274">
        <f t="shared" si="19"/>
        <v>51.848510719906365</v>
      </c>
      <c r="H307" s="274">
        <f t="shared" si="19"/>
        <v>67.599958198903622</v>
      </c>
      <c r="I307" s="274">
        <f t="shared" si="19"/>
        <v>63.603607441866018</v>
      </c>
      <c r="J307" s="274">
        <f t="shared" si="19"/>
        <v>61.37332503010807</v>
      </c>
      <c r="K307" s="274">
        <f t="shared" si="19"/>
        <v>69.634450307211168</v>
      </c>
      <c r="L307" s="274">
        <f t="shared" si="19"/>
        <v>66.046750426014299</v>
      </c>
      <c r="M307" s="274">
        <f t="shared" si="19"/>
        <v>63.936225577333026</v>
      </c>
      <c r="N307" s="274">
        <f t="shared" si="19"/>
        <v>71.712679622939106</v>
      </c>
      <c r="O307" s="274">
        <f t="shared" si="19"/>
        <v>68.533630617582929</v>
      </c>
      <c r="P307" s="274">
        <f t="shared" si="19"/>
        <v>66.54286333197831</v>
      </c>
      <c r="Q307" s="46"/>
      <c r="R307" s="46"/>
      <c r="S307" s="46"/>
      <c r="T307" s="46"/>
      <c r="U307" s="46"/>
      <c r="V307" s="46"/>
      <c r="W307" s="46"/>
    </row>
    <row r="308" spans="1:23">
      <c r="A308" s="46"/>
      <c r="B308" s="46"/>
      <c r="C308" s="647">
        <v>24</v>
      </c>
      <c r="D308" s="648"/>
      <c r="E308" s="485">
        <f>10*LOG10($C$171*E303*10^(E304/10))</f>
        <v>61.632645171577749</v>
      </c>
      <c r="F308" s="274">
        <f t="shared" ref="F308:P308" si="20">10*LOG10($C$171*F303*10^(F304/10))</f>
        <v>56.24688143668179</v>
      </c>
      <c r="G308" s="274">
        <f t="shared" si="20"/>
        <v>53.609423310463178</v>
      </c>
      <c r="H308" s="274">
        <f t="shared" si="20"/>
        <v>69.360870789460435</v>
      </c>
      <c r="I308" s="274">
        <f t="shared" si="20"/>
        <v>65.364520032422831</v>
      </c>
      <c r="J308" s="274">
        <f t="shared" si="20"/>
        <v>63.134237620664884</v>
      </c>
      <c r="K308" s="274">
        <f t="shared" si="20"/>
        <v>71.395362897767981</v>
      </c>
      <c r="L308" s="274">
        <f t="shared" si="20"/>
        <v>67.807663016571112</v>
      </c>
      <c r="M308" s="274">
        <f t="shared" si="20"/>
        <v>65.697138167889847</v>
      </c>
      <c r="N308" s="274">
        <f t="shared" si="20"/>
        <v>73.47359221349592</v>
      </c>
      <c r="O308" s="274">
        <f t="shared" si="20"/>
        <v>70.294543208139743</v>
      </c>
      <c r="P308" s="274">
        <f t="shared" si="20"/>
        <v>68.303775922535124</v>
      </c>
      <c r="Q308" s="46"/>
      <c r="R308" s="46"/>
      <c r="S308" s="46"/>
      <c r="T308" s="46"/>
      <c r="U308" s="46"/>
      <c r="V308" s="46"/>
      <c r="W308" s="46"/>
    </row>
    <row r="309" spans="1:23">
      <c r="A309" s="46"/>
      <c r="B309" s="46"/>
      <c r="C309" s="647">
        <v>32</v>
      </c>
      <c r="D309" s="648"/>
      <c r="E309" s="485">
        <f>10*LOG10($C$172*E303*10^(E304/10))</f>
        <v>62.882032537660749</v>
      </c>
      <c r="F309" s="274">
        <f t="shared" ref="F309:P309" si="21">10*LOG10($C$172*F303*10^(F304/10))</f>
        <v>57.496268802764789</v>
      </c>
      <c r="G309" s="274">
        <f t="shared" si="21"/>
        <v>54.858810676546177</v>
      </c>
      <c r="H309" s="274">
        <f t="shared" si="21"/>
        <v>70.610258155543434</v>
      </c>
      <c r="I309" s="274">
        <f t="shared" si="21"/>
        <v>66.61390739850583</v>
      </c>
      <c r="J309" s="274">
        <f t="shared" si="21"/>
        <v>64.38362498674789</v>
      </c>
      <c r="K309" s="274">
        <f t="shared" si="21"/>
        <v>72.64475026385098</v>
      </c>
      <c r="L309" s="274">
        <f t="shared" si="21"/>
        <v>69.057050382654111</v>
      </c>
      <c r="M309" s="274">
        <f t="shared" si="21"/>
        <v>66.946525533972846</v>
      </c>
      <c r="N309" s="274">
        <f t="shared" si="21"/>
        <v>74.722979579578919</v>
      </c>
      <c r="O309" s="274">
        <f t="shared" si="21"/>
        <v>71.543930574222742</v>
      </c>
      <c r="P309" s="274">
        <f t="shared" si="21"/>
        <v>69.553163288618123</v>
      </c>
      <c r="Q309" s="46"/>
      <c r="R309" s="46"/>
      <c r="S309" s="46"/>
      <c r="T309" s="46"/>
      <c r="U309" s="46"/>
      <c r="V309" s="46"/>
      <c r="W309" s="46"/>
    </row>
    <row r="310" spans="1:23">
      <c r="A310" s="46"/>
      <c r="B310" s="46"/>
      <c r="C310" s="647">
        <v>40</v>
      </c>
      <c r="D310" s="648"/>
      <c r="E310" s="485">
        <f>10*LOG10($C$173*E303*10^(E304/10))</f>
        <v>63.851132667741311</v>
      </c>
      <c r="F310" s="274">
        <f t="shared" ref="F310:P310" si="22">10*LOG10($C$173*F303*10^(F304/10))</f>
        <v>58.465368932845351</v>
      </c>
      <c r="G310" s="274">
        <f t="shared" si="22"/>
        <v>55.82791080662674</v>
      </c>
      <c r="H310" s="274">
        <f t="shared" si="22"/>
        <v>71.579358285623996</v>
      </c>
      <c r="I310" s="274">
        <f t="shared" si="22"/>
        <v>67.583007528586393</v>
      </c>
      <c r="J310" s="274">
        <f t="shared" si="22"/>
        <v>65.352725116828452</v>
      </c>
      <c r="K310" s="274">
        <f t="shared" si="22"/>
        <v>73.613850393931543</v>
      </c>
      <c r="L310" s="274">
        <f t="shared" si="22"/>
        <v>70.026150512734674</v>
      </c>
      <c r="M310" s="274">
        <f t="shared" si="22"/>
        <v>67.915625664053408</v>
      </c>
      <c r="N310" s="274">
        <f t="shared" si="22"/>
        <v>75.692079709659481</v>
      </c>
      <c r="O310" s="274">
        <f t="shared" si="22"/>
        <v>72.513030704303304</v>
      </c>
      <c r="P310" s="274">
        <f t="shared" si="22"/>
        <v>70.522263418698685</v>
      </c>
      <c r="Q310" s="46"/>
      <c r="R310" s="46"/>
      <c r="S310" s="46"/>
      <c r="T310" s="46"/>
      <c r="U310" s="46"/>
      <c r="V310" s="46"/>
      <c r="W310" s="46"/>
    </row>
    <row r="311" spans="1:23">
      <c r="A311" s="46"/>
      <c r="B311" s="46"/>
      <c r="C311" s="647">
        <v>48</v>
      </c>
      <c r="D311" s="648"/>
      <c r="E311" s="485">
        <f>10*LOG10($C$174*E303*10^(E304/10))</f>
        <v>64.642945128217562</v>
      </c>
      <c r="F311" s="274">
        <f t="shared" ref="F311:P311" si="23">10*LOG10($C$174*F303*10^(F304/10))</f>
        <v>59.257181393321602</v>
      </c>
      <c r="G311" s="274">
        <f t="shared" si="23"/>
        <v>56.619723267102984</v>
      </c>
      <c r="H311" s="274">
        <f t="shared" si="23"/>
        <v>72.371170746100248</v>
      </c>
      <c r="I311" s="274">
        <f t="shared" si="23"/>
        <v>68.374819989062644</v>
      </c>
      <c r="J311" s="274">
        <f t="shared" si="23"/>
        <v>66.144537577304703</v>
      </c>
      <c r="K311" s="274">
        <f t="shared" si="23"/>
        <v>74.405662854407794</v>
      </c>
      <c r="L311" s="274">
        <f t="shared" si="23"/>
        <v>70.817962973210925</v>
      </c>
      <c r="M311" s="274">
        <f t="shared" si="23"/>
        <v>68.707438124529659</v>
      </c>
      <c r="N311" s="274">
        <f t="shared" si="23"/>
        <v>76.483892170135732</v>
      </c>
      <c r="O311" s="274">
        <f t="shared" si="23"/>
        <v>73.304843164779555</v>
      </c>
      <c r="P311" s="274">
        <f t="shared" si="23"/>
        <v>71.314075879174936</v>
      </c>
      <c r="Q311" s="46"/>
      <c r="R311" s="46"/>
      <c r="S311" s="46"/>
      <c r="T311" s="46"/>
      <c r="U311" s="46"/>
      <c r="V311" s="46"/>
      <c r="W311" s="46"/>
    </row>
    <row r="312" spans="1:23">
      <c r="A312" s="46"/>
      <c r="B312" s="46"/>
      <c r="C312" s="647">
        <v>56</v>
      </c>
      <c r="D312" s="649"/>
      <c r="E312" s="485">
        <f>10*LOG10($C$175*E303*10^(E304/10))</f>
        <v>65.312413024523693</v>
      </c>
      <c r="F312" s="274">
        <f t="shared" ref="F312:P312" si="24">10*LOG10($C$175*F303*10^(F304/10))</f>
        <v>59.926649289627733</v>
      </c>
      <c r="G312" s="274">
        <f t="shared" si="24"/>
        <v>57.289191163409122</v>
      </c>
      <c r="H312" s="274">
        <f t="shared" si="24"/>
        <v>73.040638642406378</v>
      </c>
      <c r="I312" s="274">
        <f t="shared" si="24"/>
        <v>69.044287885368774</v>
      </c>
      <c r="J312" s="274">
        <f t="shared" si="24"/>
        <v>66.81400547361082</v>
      </c>
      <c r="K312" s="274">
        <f t="shared" si="24"/>
        <v>75.075130750713924</v>
      </c>
      <c r="L312" s="274">
        <f t="shared" si="24"/>
        <v>71.487430869517055</v>
      </c>
      <c r="M312" s="274">
        <f t="shared" si="24"/>
        <v>69.37690602083579</v>
      </c>
      <c r="N312" s="274">
        <f t="shared" si="24"/>
        <v>77.153360066441863</v>
      </c>
      <c r="O312" s="274">
        <f t="shared" si="24"/>
        <v>73.974311061085686</v>
      </c>
      <c r="P312" s="274">
        <f t="shared" si="24"/>
        <v>71.983543775481067</v>
      </c>
      <c r="Q312" s="46"/>
      <c r="R312" s="46"/>
      <c r="S312" s="46"/>
      <c r="T312" s="46"/>
      <c r="U312" s="46"/>
      <c r="V312" s="46"/>
      <c r="W312" s="46"/>
    </row>
    <row r="313" spans="1:23">
      <c r="A313" s="46"/>
      <c r="B313" s="46"/>
      <c r="C313" s="46"/>
      <c r="D313" s="46"/>
      <c r="E313" s="46"/>
      <c r="F313" s="46"/>
      <c r="G313" s="46"/>
      <c r="H313" s="46"/>
      <c r="I313" s="46"/>
      <c r="J313" s="46"/>
      <c r="K313" s="46"/>
      <c r="L313" s="46"/>
      <c r="M313" s="46"/>
      <c r="N313" s="46"/>
      <c r="O313" s="46"/>
      <c r="P313" s="46"/>
      <c r="Q313" s="46"/>
      <c r="R313" s="46"/>
      <c r="S313" s="46"/>
      <c r="T313" s="46"/>
      <c r="U313" s="46"/>
      <c r="V313" s="46"/>
      <c r="W313" s="46"/>
    </row>
    <row r="314" spans="1:23">
      <c r="A314" s="46"/>
      <c r="B314" s="46"/>
      <c r="C314" s="46"/>
      <c r="D314" s="46"/>
      <c r="E314" s="46"/>
      <c r="F314" s="46"/>
      <c r="G314" s="46"/>
      <c r="H314" s="46"/>
      <c r="I314" s="46"/>
      <c r="J314" s="46"/>
      <c r="K314" s="46"/>
      <c r="L314" s="46"/>
      <c r="M314" s="46"/>
      <c r="N314" s="46"/>
      <c r="O314" s="46"/>
      <c r="P314" s="46"/>
      <c r="Q314" s="46"/>
      <c r="R314" s="46"/>
      <c r="S314" s="46"/>
      <c r="T314" s="46"/>
      <c r="U314" s="46"/>
      <c r="V314" s="46"/>
      <c r="W314" s="46"/>
    </row>
    <row r="315" spans="1:23">
      <c r="A315" s="46"/>
      <c r="B315" s="46"/>
      <c r="C315" s="46"/>
      <c r="D315" s="46"/>
      <c r="E315" s="46"/>
      <c r="F315" s="46"/>
      <c r="G315" s="46"/>
      <c r="H315" s="46"/>
      <c r="I315" s="46"/>
      <c r="J315" s="46"/>
      <c r="K315" s="46"/>
      <c r="L315" s="46"/>
      <c r="M315" s="46"/>
      <c r="N315" s="46"/>
      <c r="O315" s="46"/>
      <c r="P315" s="46"/>
      <c r="Q315" s="46"/>
      <c r="R315" s="46"/>
      <c r="S315" s="46"/>
      <c r="T315" s="46"/>
      <c r="U315" s="46"/>
      <c r="V315" s="46"/>
      <c r="W315" s="46"/>
    </row>
    <row r="316" spans="1:23">
      <c r="A316" s="46"/>
      <c r="B316" s="46"/>
      <c r="C316" s="46"/>
      <c r="D316" s="46"/>
      <c r="E316" s="46"/>
      <c r="F316" s="46"/>
      <c r="G316" s="46"/>
      <c r="H316" s="46"/>
      <c r="I316" s="46"/>
      <c r="J316" s="46"/>
      <c r="K316" s="46"/>
      <c r="L316" s="46"/>
      <c r="M316" s="46"/>
      <c r="N316" s="46"/>
      <c r="O316" s="46"/>
      <c r="P316" s="46"/>
      <c r="Q316" s="46"/>
      <c r="R316" s="46"/>
      <c r="S316" s="46"/>
      <c r="T316" s="46"/>
      <c r="U316" s="46"/>
      <c r="V316" s="46"/>
      <c r="W316" s="46"/>
    </row>
    <row r="317" spans="1:23">
      <c r="A317" s="46"/>
      <c r="B317" s="46"/>
      <c r="C317" s="46"/>
      <c r="D317" s="46"/>
      <c r="E317" s="46"/>
      <c r="F317" s="46"/>
      <c r="G317" s="46"/>
      <c r="H317" s="46"/>
      <c r="I317" s="46"/>
      <c r="J317" s="46"/>
      <c r="K317" s="46"/>
      <c r="L317" s="46"/>
      <c r="M317" s="46"/>
      <c r="N317" s="46"/>
      <c r="O317" s="46"/>
      <c r="P317" s="46"/>
      <c r="Q317" s="46"/>
      <c r="R317" s="46"/>
      <c r="S317" s="46"/>
      <c r="T317" s="46"/>
      <c r="U317" s="46"/>
      <c r="V317" s="46"/>
      <c r="W317" s="46"/>
    </row>
    <row r="318" spans="1:23">
      <c r="A318" s="46"/>
      <c r="B318" s="46"/>
      <c r="C318" s="46"/>
      <c r="D318" s="46"/>
      <c r="E318" s="46"/>
      <c r="F318" s="46"/>
      <c r="G318" s="46"/>
      <c r="H318" s="46"/>
      <c r="I318" s="46"/>
      <c r="J318" s="46"/>
      <c r="K318" s="46"/>
      <c r="L318" s="46"/>
      <c r="M318" s="46"/>
      <c r="N318" s="46"/>
      <c r="O318" s="46"/>
      <c r="P318" s="46"/>
      <c r="Q318" s="46"/>
      <c r="R318" s="46"/>
      <c r="S318" s="46"/>
      <c r="T318" s="46"/>
      <c r="U318" s="46"/>
      <c r="V318" s="46"/>
      <c r="W318" s="46"/>
    </row>
    <row r="319" spans="1:23">
      <c r="A319" s="46"/>
      <c r="B319" s="46"/>
      <c r="C319" s="46"/>
      <c r="D319" s="46"/>
      <c r="E319" s="46"/>
      <c r="F319" s="46"/>
      <c r="G319" s="46"/>
      <c r="H319" s="46"/>
      <c r="I319" s="46"/>
      <c r="J319" s="46"/>
      <c r="K319" s="46"/>
      <c r="L319" s="46"/>
      <c r="M319" s="46"/>
      <c r="N319" s="46"/>
      <c r="O319" s="46"/>
      <c r="P319" s="46"/>
      <c r="Q319" s="46"/>
      <c r="R319" s="46"/>
      <c r="S319" s="46"/>
      <c r="T319" s="46"/>
      <c r="U319" s="46"/>
      <c r="V319" s="46"/>
      <c r="W319" s="46"/>
    </row>
    <row r="320" spans="1:23">
      <c r="A320" s="46"/>
      <c r="B320" s="46"/>
      <c r="C320" s="46"/>
      <c r="D320" s="46"/>
      <c r="E320" s="46"/>
      <c r="F320" s="46"/>
      <c r="G320" s="46"/>
      <c r="H320" s="46"/>
      <c r="I320" s="46"/>
      <c r="J320" s="46"/>
      <c r="K320" s="46"/>
      <c r="L320" s="46"/>
      <c r="M320" s="46"/>
      <c r="N320" s="46"/>
      <c r="O320" s="46"/>
      <c r="P320" s="46"/>
      <c r="Q320" s="46"/>
      <c r="R320" s="46"/>
      <c r="S320" s="46"/>
      <c r="T320" s="46"/>
      <c r="U320" s="46"/>
      <c r="V320" s="46"/>
      <c r="W320" s="46"/>
    </row>
    <row r="321" spans="1:23">
      <c r="A321" s="46"/>
      <c r="B321" s="46"/>
      <c r="C321" s="46"/>
      <c r="D321" s="46"/>
      <c r="E321" s="46"/>
      <c r="F321" s="46"/>
      <c r="G321" s="46"/>
      <c r="H321" s="46"/>
      <c r="I321" s="46"/>
      <c r="J321" s="46"/>
      <c r="K321" s="46"/>
      <c r="L321" s="46"/>
      <c r="M321" s="46"/>
      <c r="N321" s="46"/>
      <c r="O321" s="46"/>
      <c r="P321" s="46"/>
      <c r="Q321" s="46"/>
      <c r="R321" s="46"/>
      <c r="S321" s="46"/>
      <c r="T321" s="46"/>
      <c r="U321" s="46"/>
      <c r="V321" s="46"/>
      <c r="W321" s="46"/>
    </row>
    <row r="322" spans="1:23">
      <c r="A322" s="46"/>
      <c r="B322" s="46"/>
      <c r="C322" s="46"/>
      <c r="D322" s="46"/>
      <c r="E322" s="46"/>
      <c r="F322" s="46"/>
      <c r="G322" s="46"/>
      <c r="H322" s="46"/>
      <c r="I322" s="46"/>
      <c r="J322" s="46"/>
      <c r="K322" s="46"/>
      <c r="L322" s="46"/>
      <c r="M322" s="46"/>
      <c r="N322" s="46"/>
      <c r="O322" s="46"/>
      <c r="P322" s="46"/>
      <c r="Q322" s="46"/>
      <c r="R322" s="46"/>
      <c r="S322" s="46"/>
      <c r="T322" s="46"/>
      <c r="U322" s="46"/>
      <c r="V322" s="46"/>
      <c r="W322" s="46"/>
    </row>
    <row r="323" spans="1:23">
      <c r="A323" s="46"/>
      <c r="B323" s="46"/>
      <c r="C323" s="46"/>
      <c r="D323" s="46"/>
      <c r="E323" s="46"/>
      <c r="F323" s="46"/>
      <c r="G323" s="46"/>
      <c r="H323" s="46"/>
      <c r="I323" s="46"/>
      <c r="J323" s="46"/>
      <c r="K323" s="46"/>
      <c r="L323" s="46"/>
      <c r="M323" s="46"/>
      <c r="N323" s="46"/>
      <c r="O323" s="46"/>
      <c r="P323" s="46"/>
      <c r="Q323" s="46"/>
      <c r="R323" s="46"/>
      <c r="S323" s="46"/>
      <c r="T323" s="46"/>
      <c r="U323" s="46"/>
      <c r="V323" s="46"/>
      <c r="W323" s="46"/>
    </row>
    <row r="324" spans="1:23">
      <c r="A324" s="46"/>
      <c r="B324" s="46"/>
      <c r="C324" s="46"/>
      <c r="D324" s="46"/>
      <c r="E324" s="46"/>
      <c r="F324" s="46"/>
      <c r="G324" s="46"/>
      <c r="H324" s="46"/>
      <c r="I324" s="46"/>
      <c r="J324" s="46"/>
      <c r="K324" s="46"/>
      <c r="L324" s="46"/>
      <c r="M324" s="46"/>
      <c r="N324" s="46"/>
      <c r="O324" s="46"/>
      <c r="P324" s="46"/>
      <c r="Q324" s="46"/>
      <c r="R324" s="46"/>
      <c r="S324" s="46"/>
      <c r="T324" s="46"/>
      <c r="U324" s="46"/>
      <c r="V324" s="46"/>
      <c r="W324" s="46"/>
    </row>
    <row r="325" spans="1:23">
      <c r="A325" s="46"/>
      <c r="B325" s="46"/>
      <c r="C325" s="46"/>
      <c r="D325" s="46"/>
      <c r="E325" s="46"/>
      <c r="F325" s="46"/>
      <c r="G325" s="46"/>
      <c r="H325" s="46"/>
      <c r="I325" s="46"/>
      <c r="J325" s="46"/>
      <c r="K325" s="46"/>
      <c r="L325" s="46"/>
      <c r="M325" s="46"/>
      <c r="N325" s="46"/>
      <c r="O325" s="46"/>
      <c r="P325" s="46"/>
      <c r="Q325" s="46"/>
      <c r="R325" s="46"/>
      <c r="S325" s="46"/>
      <c r="T325" s="46"/>
      <c r="U325" s="46"/>
      <c r="V325" s="46"/>
      <c r="W325" s="46"/>
    </row>
    <row r="326" spans="1:23">
      <c r="A326" s="46"/>
      <c r="B326" s="46"/>
      <c r="C326" s="46"/>
      <c r="D326" s="46"/>
      <c r="E326" s="46"/>
      <c r="F326" s="46"/>
      <c r="G326" s="46"/>
      <c r="H326" s="46"/>
      <c r="I326" s="46"/>
      <c r="J326" s="46"/>
      <c r="K326" s="46"/>
      <c r="L326" s="46"/>
      <c r="M326" s="46"/>
      <c r="N326" s="46"/>
      <c r="O326" s="46"/>
      <c r="P326" s="46"/>
      <c r="Q326" s="46"/>
      <c r="R326" s="46"/>
      <c r="S326" s="46"/>
      <c r="T326" s="46"/>
      <c r="U326" s="46"/>
      <c r="V326" s="46"/>
      <c r="W326" s="46"/>
    </row>
    <row r="327" spans="1:23">
      <c r="A327" s="46"/>
      <c r="B327" s="46"/>
      <c r="C327" s="46"/>
      <c r="D327" s="46"/>
      <c r="E327" s="46"/>
      <c r="F327" s="46"/>
      <c r="G327" s="46"/>
      <c r="H327" s="46"/>
      <c r="I327" s="46"/>
      <c r="J327" s="46"/>
      <c r="K327" s="46"/>
      <c r="L327" s="46"/>
      <c r="M327" s="46"/>
      <c r="N327" s="46"/>
      <c r="O327" s="46"/>
      <c r="P327" s="46"/>
      <c r="Q327" s="46"/>
      <c r="R327" s="46"/>
      <c r="S327" s="46"/>
      <c r="T327" s="46"/>
      <c r="U327" s="46"/>
      <c r="V327" s="46"/>
      <c r="W327" s="46"/>
    </row>
    <row r="328" spans="1:23">
      <c r="A328" s="46"/>
      <c r="B328" s="46"/>
      <c r="C328" s="46"/>
      <c r="D328" s="46"/>
      <c r="E328" s="46"/>
      <c r="F328" s="46"/>
      <c r="G328" s="46"/>
      <c r="H328" s="46"/>
      <c r="I328" s="46"/>
      <c r="J328" s="46"/>
      <c r="K328" s="46"/>
      <c r="L328" s="46"/>
      <c r="M328" s="46"/>
      <c r="N328" s="46"/>
      <c r="O328" s="46"/>
      <c r="P328" s="46"/>
      <c r="Q328" s="46"/>
      <c r="R328" s="46"/>
      <c r="S328" s="46"/>
      <c r="T328" s="46"/>
      <c r="U328" s="46"/>
      <c r="V328" s="46"/>
      <c r="W328" s="46"/>
    </row>
    <row r="329" spans="1:23">
      <c r="A329" s="46"/>
      <c r="B329" s="46"/>
      <c r="C329" s="46"/>
      <c r="D329" s="46"/>
      <c r="E329" s="46"/>
      <c r="F329" s="46"/>
      <c r="G329" s="46"/>
      <c r="H329" s="46"/>
      <c r="I329" s="46"/>
      <c r="J329" s="46"/>
      <c r="K329" s="46"/>
      <c r="L329" s="46"/>
      <c r="M329" s="46"/>
      <c r="N329" s="46"/>
      <c r="O329" s="46"/>
      <c r="P329" s="46"/>
      <c r="Q329" s="46"/>
      <c r="R329" s="46"/>
      <c r="S329" s="46"/>
      <c r="T329" s="46"/>
      <c r="U329" s="46"/>
      <c r="V329" s="46"/>
      <c r="W329" s="46"/>
    </row>
    <row r="330" spans="1:23">
      <c r="A330" s="46"/>
      <c r="B330" s="46"/>
      <c r="C330" s="46"/>
      <c r="D330" s="46"/>
      <c r="E330" s="46"/>
      <c r="F330" s="46"/>
      <c r="G330" s="46"/>
      <c r="H330" s="46"/>
      <c r="I330" s="46"/>
      <c r="J330" s="46"/>
      <c r="K330" s="46"/>
      <c r="L330" s="46"/>
      <c r="M330" s="46"/>
      <c r="N330" s="46"/>
      <c r="O330" s="46"/>
      <c r="P330" s="46"/>
      <c r="Q330" s="46"/>
      <c r="R330" s="46"/>
      <c r="S330" s="46"/>
      <c r="T330" s="46"/>
      <c r="U330" s="46"/>
      <c r="V330" s="46"/>
      <c r="W330" s="46"/>
    </row>
    <row r="331" spans="1:23">
      <c r="A331" s="46"/>
      <c r="B331" s="46"/>
      <c r="C331" s="46"/>
      <c r="D331" s="46"/>
      <c r="E331" s="46"/>
      <c r="F331" s="46"/>
      <c r="G331" s="46"/>
      <c r="H331" s="46"/>
      <c r="I331" s="46"/>
      <c r="J331" s="46"/>
      <c r="K331" s="46"/>
      <c r="L331" s="46"/>
      <c r="M331" s="46"/>
      <c r="N331" s="46"/>
      <c r="O331" s="46"/>
      <c r="P331" s="46"/>
      <c r="Q331" s="46"/>
      <c r="R331" s="46"/>
      <c r="S331" s="46"/>
      <c r="T331" s="46"/>
      <c r="U331" s="46"/>
      <c r="V331" s="46"/>
      <c r="W331" s="46"/>
    </row>
    <row r="332" spans="1:23">
      <c r="A332" s="46"/>
      <c r="B332" s="46"/>
      <c r="C332" s="46"/>
      <c r="D332" s="46"/>
      <c r="E332" s="46"/>
      <c r="F332" s="46"/>
      <c r="G332" s="46"/>
      <c r="H332" s="46"/>
      <c r="I332" s="46"/>
      <c r="J332" s="46"/>
      <c r="K332" s="46"/>
      <c r="L332" s="46"/>
      <c r="M332" s="46"/>
      <c r="N332" s="46"/>
      <c r="O332" s="46"/>
      <c r="P332" s="46"/>
      <c r="Q332" s="46"/>
      <c r="R332" s="46"/>
      <c r="S332" s="46"/>
      <c r="T332" s="46"/>
      <c r="U332" s="46"/>
      <c r="V332" s="46"/>
      <c r="W332" s="46"/>
    </row>
    <row r="333" spans="1:23">
      <c r="A333" s="46"/>
      <c r="B333" s="46"/>
      <c r="C333" s="46"/>
      <c r="D333" s="46"/>
      <c r="E333" s="46"/>
      <c r="F333" s="46"/>
      <c r="G333" s="46"/>
      <c r="H333" s="46"/>
      <c r="I333" s="46"/>
      <c r="J333" s="46"/>
      <c r="K333" s="46"/>
      <c r="L333" s="46"/>
      <c r="M333" s="46"/>
      <c r="N333" s="46"/>
      <c r="O333" s="46"/>
      <c r="P333" s="46"/>
      <c r="Q333" s="46"/>
      <c r="R333" s="46"/>
      <c r="S333" s="46"/>
      <c r="T333" s="46"/>
      <c r="U333" s="46"/>
      <c r="V333" s="46"/>
      <c r="W333" s="46"/>
    </row>
    <row r="334" spans="1:23">
      <c r="A334" s="46"/>
      <c r="B334" s="46"/>
      <c r="C334" s="46"/>
      <c r="D334" s="46"/>
      <c r="E334" s="46"/>
      <c r="F334" s="46"/>
      <c r="G334" s="46"/>
      <c r="H334" s="46"/>
      <c r="I334" s="46"/>
      <c r="J334" s="46"/>
      <c r="K334" s="46"/>
      <c r="L334" s="46"/>
      <c r="M334" s="46"/>
      <c r="N334" s="46"/>
      <c r="O334" s="46"/>
      <c r="P334" s="46"/>
      <c r="Q334" s="46"/>
      <c r="R334" s="46"/>
      <c r="S334" s="46"/>
      <c r="T334" s="46"/>
      <c r="U334" s="46"/>
      <c r="V334" s="46"/>
      <c r="W334" s="46"/>
    </row>
    <row r="335" spans="1:23">
      <c r="A335" s="46"/>
      <c r="B335" s="46"/>
      <c r="C335" s="46"/>
      <c r="D335" s="46"/>
      <c r="E335" s="46"/>
      <c r="F335" s="46"/>
      <c r="G335" s="46"/>
      <c r="H335" s="46"/>
      <c r="I335" s="46"/>
      <c r="J335" s="46"/>
      <c r="K335" s="46"/>
      <c r="L335" s="46"/>
      <c r="M335" s="46"/>
      <c r="N335" s="46"/>
      <c r="O335" s="46"/>
      <c r="P335" s="46"/>
      <c r="Q335" s="46"/>
      <c r="R335" s="46"/>
      <c r="S335" s="46"/>
      <c r="T335" s="46"/>
      <c r="U335" s="46"/>
      <c r="V335" s="46"/>
      <c r="W335" s="46"/>
    </row>
    <row r="336" spans="1:23">
      <c r="A336" s="46"/>
      <c r="B336" s="46"/>
      <c r="C336" s="46"/>
      <c r="D336" s="46"/>
      <c r="E336" s="46"/>
      <c r="F336" s="46"/>
      <c r="G336" s="46"/>
      <c r="H336" s="46"/>
      <c r="I336" s="46"/>
      <c r="J336" s="46"/>
      <c r="K336" s="46"/>
      <c r="L336" s="46"/>
      <c r="M336" s="46"/>
      <c r="N336" s="46"/>
      <c r="O336" s="46"/>
      <c r="P336" s="46"/>
      <c r="Q336" s="46"/>
      <c r="R336" s="46"/>
      <c r="S336" s="46"/>
      <c r="T336" s="46"/>
      <c r="U336" s="46"/>
      <c r="V336" s="46"/>
      <c r="W336" s="46"/>
    </row>
    <row r="337" spans="1:23">
      <c r="A337" s="46"/>
      <c r="B337" s="46"/>
      <c r="C337" s="46"/>
      <c r="D337" s="46"/>
      <c r="E337" s="46"/>
      <c r="F337" s="46"/>
      <c r="G337" s="46"/>
      <c r="H337" s="46"/>
      <c r="I337" s="46"/>
      <c r="J337" s="46"/>
      <c r="K337" s="46"/>
      <c r="L337" s="46"/>
      <c r="M337" s="46"/>
      <c r="N337" s="46"/>
      <c r="O337" s="46"/>
      <c r="P337" s="46"/>
      <c r="Q337" s="46"/>
      <c r="R337" s="46"/>
      <c r="S337" s="46"/>
      <c r="T337" s="46"/>
      <c r="U337" s="46"/>
      <c r="V337" s="46"/>
      <c r="W337" s="46"/>
    </row>
    <row r="338" spans="1:23">
      <c r="A338" s="46"/>
      <c r="B338" s="46"/>
      <c r="C338" s="46"/>
      <c r="D338" s="46"/>
      <c r="E338" s="46"/>
      <c r="F338" s="46"/>
      <c r="G338" s="46"/>
      <c r="H338" s="46"/>
      <c r="I338" s="46"/>
      <c r="J338" s="46"/>
      <c r="K338" s="46"/>
      <c r="L338" s="46"/>
      <c r="M338" s="46"/>
      <c r="N338" s="46"/>
      <c r="O338" s="46"/>
      <c r="P338" s="46"/>
      <c r="Q338" s="46"/>
      <c r="R338" s="46"/>
      <c r="S338" s="46"/>
      <c r="T338" s="46"/>
      <c r="U338" s="46"/>
      <c r="V338" s="46"/>
      <c r="W338" s="46"/>
    </row>
    <row r="339" spans="1:23">
      <c r="A339" s="46"/>
      <c r="B339" s="46"/>
      <c r="C339" s="46"/>
      <c r="D339" s="46"/>
      <c r="E339" s="46"/>
      <c r="F339" s="46"/>
      <c r="G339" s="46"/>
      <c r="H339" s="46"/>
      <c r="I339" s="46"/>
      <c r="J339" s="46"/>
      <c r="K339" s="46"/>
      <c r="L339" s="46"/>
      <c r="M339" s="46"/>
      <c r="N339" s="46"/>
      <c r="O339" s="46"/>
      <c r="P339" s="46"/>
      <c r="Q339" s="46"/>
      <c r="R339" s="46"/>
      <c r="S339" s="46"/>
      <c r="T339" s="46"/>
      <c r="U339" s="46"/>
      <c r="V339" s="46"/>
      <c r="W339" s="46"/>
    </row>
    <row r="340" spans="1:23">
      <c r="A340" s="46"/>
      <c r="B340" s="46"/>
      <c r="C340" s="46"/>
      <c r="D340" s="46"/>
      <c r="E340" s="46"/>
      <c r="F340" s="46"/>
      <c r="G340" s="46"/>
      <c r="H340" s="46"/>
      <c r="I340" s="46"/>
      <c r="J340" s="46"/>
      <c r="K340" s="46"/>
      <c r="L340" s="46"/>
      <c r="M340" s="46"/>
      <c r="N340" s="46"/>
      <c r="O340" s="46"/>
      <c r="P340" s="46"/>
      <c r="Q340" s="46"/>
      <c r="R340" s="46"/>
      <c r="S340" s="46"/>
      <c r="T340" s="46"/>
      <c r="U340" s="46"/>
      <c r="V340" s="46"/>
      <c r="W340" s="46"/>
    </row>
    <row r="341" spans="1:23">
      <c r="A341" s="46"/>
      <c r="B341" s="46"/>
      <c r="C341" s="46"/>
      <c r="D341" s="46"/>
      <c r="E341" s="46"/>
      <c r="F341" s="46"/>
      <c r="G341" s="46"/>
      <c r="H341" s="46"/>
      <c r="I341" s="46"/>
      <c r="J341" s="46"/>
      <c r="K341" s="46"/>
      <c r="L341" s="46"/>
      <c r="M341" s="46"/>
      <c r="N341" s="46"/>
      <c r="O341" s="46"/>
      <c r="P341" s="46"/>
      <c r="Q341" s="46"/>
      <c r="R341" s="46"/>
      <c r="S341" s="46"/>
      <c r="T341" s="46"/>
      <c r="U341" s="46"/>
      <c r="V341" s="46"/>
      <c r="W341" s="46"/>
    </row>
    <row r="342" spans="1:23">
      <c r="A342" s="46"/>
      <c r="B342" s="46"/>
      <c r="C342" s="46"/>
      <c r="D342" s="46"/>
      <c r="E342" s="46"/>
      <c r="F342" s="46"/>
      <c r="G342" s="46"/>
      <c r="H342" s="46"/>
      <c r="I342" s="46"/>
      <c r="J342" s="46"/>
      <c r="K342" s="46"/>
      <c r="L342" s="46"/>
      <c r="M342" s="46"/>
      <c r="N342" s="46"/>
      <c r="O342" s="46"/>
      <c r="P342" s="46"/>
      <c r="Q342" s="46"/>
      <c r="R342" s="46"/>
      <c r="S342" s="46"/>
      <c r="T342" s="46"/>
      <c r="U342" s="46"/>
      <c r="V342" s="46"/>
      <c r="W342" s="46"/>
    </row>
    <row r="343" spans="1:23">
      <c r="A343" s="46"/>
      <c r="B343" s="46"/>
      <c r="C343" s="46"/>
      <c r="D343" s="46"/>
      <c r="E343" s="46"/>
      <c r="F343" s="46"/>
      <c r="G343" s="46"/>
      <c r="H343" s="46"/>
      <c r="I343" s="46"/>
      <c r="J343" s="46"/>
      <c r="K343" s="46"/>
      <c r="L343" s="46"/>
      <c r="M343" s="46"/>
      <c r="N343" s="46"/>
      <c r="O343" s="46"/>
      <c r="P343" s="46"/>
      <c r="Q343" s="46"/>
      <c r="R343" s="46"/>
      <c r="S343" s="46"/>
      <c r="T343" s="46"/>
      <c r="U343" s="46"/>
      <c r="V343" s="46"/>
      <c r="W343" s="46"/>
    </row>
    <row r="344" spans="1:23">
      <c r="A344" s="46"/>
      <c r="B344" s="46"/>
      <c r="C344" s="46"/>
      <c r="D344" s="46"/>
      <c r="E344" s="46"/>
      <c r="F344" s="46"/>
      <c r="G344" s="46"/>
      <c r="H344" s="46"/>
      <c r="I344" s="46"/>
      <c r="J344" s="46"/>
      <c r="K344" s="46"/>
      <c r="L344" s="46"/>
      <c r="M344" s="46"/>
      <c r="N344" s="46"/>
      <c r="O344" s="46"/>
      <c r="P344" s="46"/>
      <c r="Q344" s="46"/>
      <c r="R344" s="46"/>
      <c r="S344" s="46"/>
      <c r="T344" s="46"/>
      <c r="U344" s="46"/>
      <c r="V344" s="46"/>
      <c r="W344" s="46"/>
    </row>
    <row r="345" spans="1:23">
      <c r="A345" s="46"/>
      <c r="B345" s="46"/>
      <c r="C345" s="46"/>
      <c r="D345" s="46"/>
      <c r="E345" s="46"/>
      <c r="F345" s="46"/>
      <c r="G345" s="46"/>
      <c r="H345" s="46"/>
      <c r="I345" s="46"/>
      <c r="J345" s="46"/>
      <c r="K345" s="46"/>
      <c r="L345" s="46"/>
      <c r="M345" s="46"/>
      <c r="N345" s="46"/>
      <c r="O345" s="46"/>
      <c r="P345" s="46"/>
      <c r="Q345" s="46"/>
      <c r="R345" s="46"/>
      <c r="S345" s="46"/>
      <c r="T345" s="46"/>
      <c r="U345" s="46"/>
      <c r="V345" s="46"/>
      <c r="W345" s="46"/>
    </row>
    <row r="346" spans="1:23">
      <c r="A346" s="46"/>
      <c r="B346" s="46"/>
      <c r="C346" s="46"/>
      <c r="D346" s="46"/>
      <c r="E346" s="46"/>
      <c r="F346" s="46"/>
      <c r="G346" s="46"/>
      <c r="H346" s="46"/>
      <c r="I346" s="46"/>
      <c r="J346" s="46"/>
      <c r="K346" s="46"/>
      <c r="L346" s="46"/>
      <c r="M346" s="46"/>
      <c r="N346" s="46"/>
      <c r="O346" s="46"/>
      <c r="P346" s="46"/>
      <c r="Q346" s="46"/>
      <c r="R346" s="46"/>
      <c r="S346" s="46"/>
      <c r="T346" s="46"/>
      <c r="U346" s="46"/>
      <c r="V346" s="46"/>
      <c r="W346" s="46"/>
    </row>
    <row r="347" spans="1:23">
      <c r="A347" s="46"/>
      <c r="B347" s="46"/>
      <c r="C347" s="46"/>
      <c r="D347" s="46"/>
      <c r="E347" s="46"/>
      <c r="F347" s="46"/>
      <c r="G347" s="46"/>
      <c r="H347" s="46"/>
      <c r="I347" s="46"/>
      <c r="J347" s="46"/>
      <c r="K347" s="46"/>
      <c r="L347" s="46"/>
      <c r="M347" s="46"/>
      <c r="N347" s="46"/>
      <c r="O347" s="46"/>
      <c r="P347" s="46"/>
      <c r="Q347" s="46"/>
      <c r="R347" s="46"/>
      <c r="S347" s="46"/>
      <c r="T347" s="46"/>
      <c r="U347" s="46"/>
      <c r="V347" s="46"/>
      <c r="W347" s="46"/>
    </row>
    <row r="348" spans="1:23" ht="16.5">
      <c r="A348" s="46"/>
      <c r="B348" s="271" t="s">
        <v>571</v>
      </c>
      <c r="C348" s="46"/>
      <c r="D348" s="46"/>
      <c r="E348" s="46"/>
      <c r="F348" s="46"/>
      <c r="G348" s="46"/>
      <c r="H348" s="46"/>
      <c r="I348" s="46"/>
      <c r="J348" s="46"/>
      <c r="K348" s="46"/>
      <c r="L348" s="46"/>
      <c r="M348" s="46"/>
      <c r="N348" s="46"/>
      <c r="O348" s="46"/>
      <c r="P348" s="46"/>
      <c r="Q348" s="46"/>
      <c r="R348" s="46"/>
      <c r="S348" s="46"/>
      <c r="T348" s="46"/>
      <c r="U348" s="46"/>
      <c r="V348" s="46"/>
      <c r="W348" s="46"/>
    </row>
    <row r="349" spans="1:23" ht="16.5">
      <c r="A349" s="46"/>
      <c r="B349" s="46"/>
      <c r="C349" s="46" t="s">
        <v>822</v>
      </c>
      <c r="D349" s="46"/>
      <c r="E349" s="46"/>
      <c r="F349" s="46"/>
      <c r="G349" s="46"/>
      <c r="H349" s="46"/>
      <c r="I349" s="46"/>
      <c r="J349" s="46"/>
      <c r="K349" s="46"/>
      <c r="L349" s="46"/>
      <c r="M349" s="46"/>
      <c r="N349" s="46"/>
      <c r="O349" s="46"/>
      <c r="P349" s="46"/>
      <c r="Q349" s="46"/>
      <c r="R349" s="46"/>
      <c r="S349" s="46"/>
      <c r="T349" s="46"/>
      <c r="U349" s="46"/>
      <c r="V349" s="46"/>
      <c r="W349" s="46"/>
    </row>
    <row r="350" spans="1:23" ht="16.5">
      <c r="A350" s="46"/>
      <c r="B350" s="46"/>
      <c r="C350" s="46" t="s">
        <v>823</v>
      </c>
      <c r="D350" s="46"/>
      <c r="E350" s="46"/>
      <c r="F350" s="46"/>
      <c r="G350" s="46"/>
      <c r="H350" s="46"/>
      <c r="I350" s="46"/>
      <c r="J350" s="46"/>
      <c r="K350" s="46"/>
      <c r="L350" s="46"/>
      <c r="M350" s="46"/>
      <c r="N350" s="46"/>
      <c r="O350" s="46"/>
      <c r="P350" s="46"/>
      <c r="Q350" s="46"/>
      <c r="R350" s="46"/>
      <c r="S350" s="46"/>
      <c r="T350" s="46"/>
      <c r="U350" s="46"/>
      <c r="V350" s="46"/>
      <c r="W350" s="46"/>
    </row>
    <row r="351" spans="1:23">
      <c r="A351" s="46"/>
      <c r="B351" s="46"/>
      <c r="C351" s="46"/>
      <c r="D351" s="46"/>
      <c r="E351" s="46"/>
      <c r="F351" s="46"/>
      <c r="G351" s="46"/>
      <c r="H351" s="46"/>
      <c r="I351" s="46"/>
      <c r="J351" s="46"/>
      <c r="K351" s="46"/>
      <c r="L351" s="46"/>
      <c r="M351" s="46"/>
      <c r="N351" s="46"/>
      <c r="O351" s="46"/>
      <c r="P351" s="46"/>
      <c r="Q351" s="46"/>
      <c r="R351" s="46"/>
      <c r="S351" s="46"/>
      <c r="T351" s="46"/>
      <c r="U351" s="46"/>
      <c r="V351" s="46"/>
      <c r="W351" s="46"/>
    </row>
    <row r="352" spans="1:23">
      <c r="A352" s="46"/>
      <c r="B352" s="46"/>
      <c r="C352" s="46"/>
      <c r="D352" s="46"/>
      <c r="E352" s="46"/>
      <c r="F352" s="46"/>
      <c r="G352" s="46"/>
      <c r="H352" s="46"/>
      <c r="I352" s="46"/>
      <c r="J352" s="46"/>
      <c r="K352" s="46"/>
      <c r="L352" s="46"/>
      <c r="M352" s="46"/>
      <c r="N352" s="46"/>
      <c r="O352" s="46"/>
      <c r="P352" s="46"/>
      <c r="Q352" s="46"/>
      <c r="R352" s="46"/>
      <c r="S352" s="46"/>
      <c r="T352" s="46"/>
      <c r="U352" s="46"/>
      <c r="V352" s="46"/>
      <c r="W352" s="46"/>
    </row>
    <row r="353" spans="1:23">
      <c r="A353" s="46"/>
      <c r="B353" s="46"/>
      <c r="C353" s="46"/>
      <c r="D353" s="46"/>
      <c r="E353" s="46"/>
      <c r="F353" s="46"/>
      <c r="G353" s="46"/>
      <c r="H353" s="46"/>
      <c r="I353" s="46"/>
      <c r="J353" s="46"/>
      <c r="K353" s="46"/>
      <c r="L353" s="46"/>
      <c r="M353" s="46"/>
      <c r="N353" s="46"/>
      <c r="O353" s="46"/>
      <c r="P353" s="46"/>
      <c r="Q353" s="46"/>
      <c r="R353" s="46"/>
      <c r="S353" s="46"/>
      <c r="T353" s="46"/>
      <c r="U353" s="46"/>
      <c r="V353" s="46"/>
      <c r="W353" s="46"/>
    </row>
    <row r="354" spans="1:23">
      <c r="A354" s="46"/>
      <c r="B354" s="46"/>
      <c r="C354" s="46"/>
      <c r="D354" s="46"/>
      <c r="E354" s="308"/>
      <c r="F354" s="46"/>
      <c r="G354" s="46"/>
      <c r="H354" s="46"/>
      <c r="I354" s="46"/>
      <c r="J354" s="46"/>
      <c r="K354" s="46"/>
      <c r="L354" s="46"/>
      <c r="M354" s="46"/>
      <c r="N354" s="46"/>
      <c r="O354" s="46"/>
      <c r="P354" s="46"/>
      <c r="Q354" s="46"/>
      <c r="R354" s="46"/>
      <c r="S354" s="46"/>
      <c r="T354" s="46"/>
      <c r="U354" s="46"/>
      <c r="V354" s="46"/>
      <c r="W354" s="46"/>
    </row>
    <row r="355" spans="1:23">
      <c r="A355" s="46"/>
      <c r="B355" s="46"/>
      <c r="C355" s="46"/>
      <c r="D355" s="46"/>
      <c r="E355" s="46"/>
      <c r="F355" s="46"/>
      <c r="G355" s="46"/>
      <c r="H355" s="46"/>
      <c r="I355" s="46"/>
      <c r="J355" s="46"/>
      <c r="K355" s="46"/>
      <c r="L355" s="46"/>
      <c r="M355" s="46"/>
      <c r="N355" s="46"/>
      <c r="O355" s="46"/>
      <c r="P355" s="46"/>
      <c r="Q355" s="46"/>
      <c r="R355" s="46"/>
      <c r="S355" s="46"/>
      <c r="T355" s="46"/>
      <c r="U355" s="46"/>
      <c r="V355" s="46"/>
      <c r="W355" s="46"/>
    </row>
    <row r="356" spans="1:23">
      <c r="A356" s="46"/>
      <c r="B356" s="46"/>
      <c r="C356" s="46"/>
      <c r="D356" s="46"/>
      <c r="E356" s="46"/>
      <c r="F356" s="46"/>
      <c r="G356" s="46"/>
      <c r="H356" s="46"/>
      <c r="I356" s="46"/>
      <c r="J356" s="46"/>
      <c r="K356" s="46"/>
      <c r="L356" s="46"/>
      <c r="M356" s="46"/>
      <c r="N356" s="46"/>
      <c r="O356" s="46"/>
      <c r="P356" s="46"/>
      <c r="Q356" s="46"/>
      <c r="R356" s="46"/>
      <c r="S356" s="46"/>
      <c r="T356" s="46"/>
      <c r="U356" s="46"/>
      <c r="V356" s="46"/>
      <c r="W356" s="46"/>
    </row>
    <row r="357" spans="1:23">
      <c r="A357" s="46"/>
      <c r="B357" s="46"/>
      <c r="C357" s="46"/>
      <c r="D357" s="46"/>
      <c r="E357" s="46"/>
      <c r="F357" s="46"/>
      <c r="G357" s="46"/>
      <c r="H357" s="46"/>
      <c r="I357" s="46"/>
      <c r="J357" s="46"/>
      <c r="K357" s="46"/>
      <c r="L357" s="46"/>
      <c r="M357" s="46"/>
      <c r="N357" s="46"/>
      <c r="O357" s="46"/>
      <c r="P357" s="46"/>
      <c r="Q357" s="46"/>
      <c r="R357" s="46"/>
      <c r="S357" s="46"/>
      <c r="T357" s="46"/>
      <c r="U357" s="46"/>
      <c r="V357" s="46"/>
      <c r="W357" s="46"/>
    </row>
    <row r="358" spans="1:23" ht="16.5">
      <c r="A358" s="46"/>
      <c r="B358" s="46"/>
      <c r="C358" s="46" t="s">
        <v>790</v>
      </c>
      <c r="D358" s="46"/>
      <c r="E358" s="46"/>
      <c r="F358" s="46"/>
      <c r="G358" s="46"/>
      <c r="H358" s="46"/>
      <c r="I358" s="46"/>
      <c r="J358" s="46"/>
      <c r="K358" s="46"/>
      <c r="L358" s="46"/>
      <c r="M358" s="46"/>
      <c r="N358" s="46"/>
      <c r="O358" s="46"/>
      <c r="P358" s="46"/>
      <c r="Q358" s="46"/>
      <c r="R358" s="46"/>
      <c r="S358" s="46"/>
      <c r="T358" s="46"/>
      <c r="U358" s="46"/>
      <c r="V358" s="46"/>
      <c r="W358" s="46"/>
    </row>
    <row r="359" spans="1:23">
      <c r="A359" s="46"/>
      <c r="B359" s="46"/>
      <c r="C359" s="46"/>
      <c r="D359" s="46"/>
      <c r="E359" s="46"/>
      <c r="F359" s="46"/>
      <c r="G359" s="46"/>
      <c r="H359" s="46"/>
      <c r="I359" s="46"/>
      <c r="J359" s="46"/>
      <c r="K359" s="46"/>
      <c r="L359" s="46"/>
      <c r="M359" s="46"/>
      <c r="N359" s="46"/>
      <c r="O359" s="46"/>
      <c r="P359" s="46"/>
      <c r="Q359" s="46"/>
      <c r="R359" s="46"/>
      <c r="S359" s="46"/>
      <c r="T359" s="46"/>
      <c r="U359" s="46"/>
      <c r="V359" s="46"/>
      <c r="W359" s="46"/>
    </row>
    <row r="360" spans="1:23">
      <c r="A360" s="46"/>
      <c r="B360" s="46"/>
      <c r="C360" s="46"/>
      <c r="D360" s="46"/>
      <c r="E360" s="46"/>
      <c r="F360" s="46"/>
      <c r="G360" s="46"/>
      <c r="H360" s="46"/>
      <c r="I360" s="46"/>
      <c r="J360" s="46"/>
      <c r="K360" s="46"/>
      <c r="L360" s="46"/>
      <c r="M360" s="46"/>
      <c r="N360" s="46"/>
      <c r="O360" s="46"/>
      <c r="P360" s="46"/>
      <c r="Q360" s="46"/>
      <c r="R360" s="46"/>
      <c r="S360" s="46"/>
      <c r="T360" s="46"/>
      <c r="U360" s="46"/>
      <c r="V360" s="46"/>
      <c r="W360" s="46"/>
    </row>
    <row r="361" spans="1:23">
      <c r="A361" s="46"/>
      <c r="B361" s="46"/>
      <c r="C361" s="46"/>
      <c r="D361" s="46"/>
      <c r="E361" s="46"/>
      <c r="F361" s="46"/>
      <c r="G361" s="46"/>
      <c r="H361" s="46"/>
      <c r="I361" s="46"/>
      <c r="J361" s="46"/>
      <c r="K361" s="46"/>
      <c r="L361" s="46"/>
      <c r="M361" s="46"/>
      <c r="N361" s="46"/>
      <c r="O361" s="46"/>
      <c r="P361" s="46"/>
      <c r="Q361" s="46"/>
      <c r="R361" s="46"/>
      <c r="S361" s="46"/>
      <c r="T361" s="46"/>
      <c r="U361" s="46"/>
      <c r="V361" s="46"/>
      <c r="W361" s="46"/>
    </row>
    <row r="362" spans="1:23">
      <c r="A362" s="46"/>
      <c r="B362" s="46"/>
      <c r="C362" s="46"/>
      <c r="D362" s="46"/>
      <c r="E362" s="46"/>
      <c r="F362" s="46"/>
      <c r="G362" s="46"/>
      <c r="H362" s="46"/>
      <c r="I362" s="46"/>
      <c r="J362" s="46"/>
      <c r="K362" s="46"/>
      <c r="L362" s="46"/>
      <c r="M362" s="46"/>
      <c r="N362" s="46"/>
      <c r="O362" s="46"/>
      <c r="P362" s="46"/>
      <c r="Q362" s="46"/>
      <c r="R362" s="46"/>
      <c r="S362" s="46"/>
      <c r="T362" s="46"/>
      <c r="U362" s="46"/>
      <c r="V362" s="46"/>
      <c r="W362" s="46"/>
    </row>
    <row r="363" spans="1:23">
      <c r="A363" s="46"/>
      <c r="B363" s="46"/>
      <c r="C363" s="46"/>
      <c r="D363" s="46"/>
      <c r="E363" s="46"/>
      <c r="F363" s="46"/>
      <c r="G363" s="46"/>
      <c r="H363" s="46"/>
      <c r="I363" s="46"/>
      <c r="J363" s="46"/>
      <c r="K363" s="46"/>
      <c r="L363" s="46"/>
      <c r="M363" s="46"/>
      <c r="N363" s="46"/>
      <c r="O363" s="46"/>
      <c r="P363" s="46"/>
      <c r="Q363" s="46"/>
      <c r="R363" s="46"/>
      <c r="S363" s="46"/>
      <c r="T363" s="46"/>
      <c r="U363" s="46"/>
      <c r="V363" s="46"/>
      <c r="W363" s="46"/>
    </row>
    <row r="364" spans="1:23">
      <c r="A364" s="46"/>
      <c r="B364" s="46"/>
      <c r="C364" s="46"/>
      <c r="D364" s="46"/>
      <c r="E364" s="46"/>
      <c r="F364" s="46"/>
      <c r="G364" s="46"/>
      <c r="H364" s="46"/>
      <c r="I364" s="46"/>
      <c r="J364" s="46"/>
      <c r="K364" s="46"/>
      <c r="L364" s="46"/>
      <c r="M364" s="46"/>
      <c r="N364" s="46"/>
      <c r="O364" s="46"/>
      <c r="P364" s="46"/>
      <c r="Q364" s="46"/>
      <c r="R364" s="46"/>
      <c r="S364" s="46"/>
      <c r="T364" s="46"/>
      <c r="U364" s="46"/>
      <c r="V364" s="46"/>
      <c r="W364" s="46"/>
    </row>
    <row r="365" spans="1:23">
      <c r="A365" s="46"/>
      <c r="B365" s="46"/>
      <c r="C365" s="46"/>
      <c r="D365" s="46"/>
      <c r="E365" s="46"/>
      <c r="F365" s="46"/>
      <c r="G365" s="46"/>
      <c r="H365" s="46"/>
      <c r="I365" s="46"/>
      <c r="J365" s="46"/>
      <c r="K365" s="46"/>
      <c r="L365" s="46"/>
      <c r="M365" s="46"/>
      <c r="N365" s="46"/>
      <c r="O365" s="46"/>
      <c r="P365" s="46"/>
      <c r="Q365" s="46"/>
      <c r="R365" s="46"/>
      <c r="S365" s="46"/>
      <c r="T365" s="46"/>
      <c r="U365" s="46"/>
      <c r="V365" s="46"/>
      <c r="W365" s="46"/>
    </row>
    <row r="366" spans="1:23">
      <c r="A366" s="46"/>
      <c r="B366" s="46"/>
      <c r="C366" s="46" t="s">
        <v>572</v>
      </c>
      <c r="D366" s="46"/>
      <c r="E366" s="46" t="s">
        <v>573</v>
      </c>
      <c r="F366" s="46"/>
      <c r="G366" s="46"/>
      <c r="H366" s="46"/>
      <c r="I366" s="46"/>
      <c r="J366" s="46"/>
      <c r="K366" s="46"/>
      <c r="L366" s="46"/>
      <c r="M366" s="46"/>
      <c r="N366" s="46"/>
      <c r="O366" s="46"/>
      <c r="P366" s="46"/>
      <c r="Q366" s="46"/>
      <c r="R366" s="46"/>
      <c r="S366" s="46"/>
      <c r="T366" s="46"/>
      <c r="U366" s="46"/>
      <c r="V366" s="46"/>
      <c r="W366" s="46"/>
    </row>
    <row r="367" spans="1:23">
      <c r="A367" s="46"/>
      <c r="B367" s="46"/>
      <c r="C367" s="46"/>
      <c r="D367" s="46"/>
      <c r="E367" s="46"/>
      <c r="F367" s="46"/>
      <c r="G367" s="46"/>
      <c r="H367" s="46"/>
      <c r="I367" s="46"/>
      <c r="J367" s="46"/>
      <c r="K367" s="46"/>
      <c r="L367" s="46"/>
      <c r="M367" s="46"/>
      <c r="N367" s="46"/>
      <c r="O367" s="46"/>
      <c r="P367" s="46"/>
      <c r="Q367" s="46"/>
      <c r="R367" s="46"/>
      <c r="S367" s="46"/>
      <c r="T367" s="46"/>
      <c r="U367" s="46"/>
      <c r="V367" s="46"/>
      <c r="W367" s="46"/>
    </row>
    <row r="368" spans="1:23">
      <c r="A368" s="46"/>
      <c r="B368" s="46"/>
      <c r="C368" s="46"/>
      <c r="D368" s="46"/>
      <c r="E368" s="46"/>
      <c r="F368" s="46"/>
      <c r="G368" s="46"/>
      <c r="H368" s="46"/>
      <c r="I368" s="46"/>
      <c r="J368" s="46"/>
      <c r="K368" s="46"/>
      <c r="L368" s="46"/>
      <c r="M368" s="46"/>
      <c r="N368" s="46"/>
      <c r="O368" s="46"/>
      <c r="P368" s="46"/>
      <c r="Q368" s="46"/>
      <c r="R368" s="46"/>
      <c r="S368" s="46"/>
      <c r="T368" s="46"/>
      <c r="U368" s="46"/>
      <c r="V368" s="46"/>
      <c r="W368" s="46"/>
    </row>
    <row r="369" spans="1:23">
      <c r="A369" s="46"/>
      <c r="B369" s="46"/>
      <c r="C369" s="308"/>
      <c r="D369" s="46"/>
      <c r="E369" s="46"/>
      <c r="F369" s="46"/>
      <c r="G369" s="46"/>
      <c r="H369" s="46"/>
      <c r="I369" s="46"/>
      <c r="J369" s="46"/>
      <c r="K369" s="46"/>
      <c r="L369" s="46"/>
      <c r="M369" s="46"/>
      <c r="N369" s="46"/>
      <c r="O369" s="46"/>
      <c r="P369" s="46"/>
      <c r="Q369" s="46"/>
      <c r="R369" s="46"/>
      <c r="S369" s="46"/>
      <c r="T369" s="46"/>
      <c r="U369" s="46"/>
      <c r="V369" s="46"/>
      <c r="W369" s="46"/>
    </row>
    <row r="370" spans="1:23" ht="16.5">
      <c r="A370" s="46"/>
      <c r="B370" s="46"/>
      <c r="C370" s="168" t="s">
        <v>821</v>
      </c>
      <c r="D370" s="46"/>
      <c r="E370" s="46"/>
      <c r="F370" s="46"/>
      <c r="G370" s="46"/>
      <c r="H370" s="46"/>
      <c r="I370" s="46"/>
      <c r="J370" s="46"/>
      <c r="K370" s="46"/>
      <c r="L370" s="46"/>
      <c r="M370" s="46"/>
      <c r="N370" s="46"/>
      <c r="O370" s="46"/>
      <c r="P370" s="46"/>
      <c r="Q370" s="46"/>
      <c r="R370" s="46"/>
      <c r="S370" s="46"/>
      <c r="T370" s="46"/>
      <c r="U370" s="46"/>
      <c r="V370" s="46"/>
      <c r="W370" s="46"/>
    </row>
    <row r="371" spans="1:23">
      <c r="A371" s="46"/>
      <c r="B371" s="46"/>
      <c r="C371" s="46" t="s">
        <v>574</v>
      </c>
      <c r="D371" s="46"/>
      <c r="E371" s="46"/>
      <c r="F371" s="46"/>
      <c r="G371" s="46"/>
      <c r="H371" s="46"/>
      <c r="I371" s="46"/>
      <c r="J371" s="46"/>
      <c r="K371" s="46"/>
      <c r="L371" s="46"/>
      <c r="M371" s="46"/>
      <c r="N371" s="46"/>
      <c r="O371" s="46"/>
      <c r="P371" s="46"/>
      <c r="Q371" s="46"/>
      <c r="R371" s="46"/>
      <c r="S371" s="46"/>
      <c r="T371" s="46"/>
      <c r="U371" s="46"/>
      <c r="V371" s="46"/>
      <c r="W371" s="46"/>
    </row>
    <row r="372" spans="1:23">
      <c r="A372" s="46"/>
      <c r="B372" s="46"/>
      <c r="C372" s="46"/>
      <c r="D372" s="46"/>
      <c r="E372" s="46"/>
      <c r="F372" s="46"/>
      <c r="G372" s="46"/>
      <c r="H372" s="46"/>
      <c r="I372" s="46"/>
      <c r="J372" s="46"/>
      <c r="K372" s="46"/>
      <c r="L372" s="46"/>
      <c r="M372" s="46"/>
      <c r="N372" s="46"/>
      <c r="O372" s="46"/>
      <c r="P372" s="46"/>
      <c r="Q372" s="46"/>
      <c r="R372" s="46"/>
      <c r="S372" s="46"/>
      <c r="T372" s="46"/>
      <c r="U372" s="46"/>
      <c r="V372" s="46"/>
      <c r="W372" s="46"/>
    </row>
    <row r="373" spans="1:23" ht="16.5">
      <c r="A373" s="46"/>
      <c r="B373" s="46"/>
      <c r="C373" s="443"/>
      <c r="D373" s="444"/>
      <c r="E373" s="448" t="s">
        <v>575</v>
      </c>
      <c r="F373" s="448"/>
      <c r="G373" s="448"/>
      <c r="H373" s="444"/>
      <c r="I373" s="451"/>
      <c r="J373" s="46"/>
      <c r="K373" s="117"/>
      <c r="L373" s="46"/>
      <c r="M373" s="46"/>
      <c r="N373" s="46"/>
      <c r="O373" s="46"/>
      <c r="P373" s="46"/>
      <c r="Q373" s="46"/>
      <c r="R373" s="46"/>
      <c r="S373" s="46"/>
      <c r="T373" s="46"/>
      <c r="U373" s="46"/>
      <c r="V373" s="46"/>
      <c r="W373" s="46"/>
    </row>
    <row r="374" spans="1:23" ht="19.5" customHeight="1">
      <c r="A374" s="46"/>
      <c r="B374" s="46"/>
      <c r="C374" s="379" t="s">
        <v>35</v>
      </c>
      <c r="D374" s="446"/>
      <c r="E374" s="449"/>
      <c r="F374" s="449" t="s">
        <v>450</v>
      </c>
      <c r="G374" s="449"/>
      <c r="H374" s="449"/>
      <c r="I374" s="450"/>
      <c r="J374" s="46"/>
      <c r="K374" s="117"/>
      <c r="L374" s="46"/>
      <c r="M374" s="46"/>
      <c r="N374" s="46"/>
      <c r="O374" s="46"/>
      <c r="P374" s="46"/>
      <c r="Q374" s="46"/>
      <c r="R374" s="46"/>
      <c r="S374" s="46"/>
      <c r="T374" s="46"/>
      <c r="U374" s="46"/>
      <c r="V374" s="46"/>
      <c r="W374" s="46"/>
    </row>
    <row r="375" spans="1:23">
      <c r="A375" s="46"/>
      <c r="B375" s="46"/>
      <c r="C375" s="408"/>
      <c r="D375" s="285">
        <v>80</v>
      </c>
      <c r="E375" s="357">
        <v>150</v>
      </c>
      <c r="F375" s="357">
        <v>200</v>
      </c>
      <c r="G375" s="357">
        <v>250</v>
      </c>
      <c r="H375" s="285">
        <v>300</v>
      </c>
      <c r="I375" s="357">
        <v>350</v>
      </c>
      <c r="J375" s="46"/>
      <c r="K375" s="117"/>
      <c r="L375" s="46"/>
      <c r="M375" s="46"/>
      <c r="N375" s="46"/>
      <c r="O375" s="46"/>
      <c r="P375" s="46"/>
      <c r="Q375" s="46"/>
      <c r="R375" s="46"/>
      <c r="S375" s="46"/>
      <c r="T375" s="46"/>
      <c r="U375" s="46"/>
      <c r="V375" s="46"/>
      <c r="W375" s="46"/>
    </row>
    <row r="376" spans="1:23">
      <c r="A376" s="46"/>
      <c r="B376" s="46"/>
      <c r="C376" s="232" t="str">
        <f>'Passby Data Set 1 Output'!E11</f>
        <v>Korean HEMU-430X</v>
      </c>
      <c r="D376" s="309">
        <f>'Passby Data Set 1 Output'!G159</f>
        <v>78.638103472198679</v>
      </c>
      <c r="E376" s="309">
        <f>'Passby Data Set 1 Output'!G160</f>
        <v>84.964528430419577</v>
      </c>
      <c r="F376" s="309">
        <f>'Passby Data Set 1 Output'!G161</f>
        <v>88.318578764879945</v>
      </c>
      <c r="G376" s="309">
        <f>'Passby Data Set 1 Output'!G162</f>
        <v>91.314829306882302</v>
      </c>
      <c r="H376" s="309">
        <f>'Passby Data Set 1 Output'!G163</f>
        <v>94.141133875666114</v>
      </c>
      <c r="I376" s="309">
        <f>'Passby Data Set 1 Output'!G164</f>
        <v>96.888831087700169</v>
      </c>
      <c r="J376" s="46"/>
      <c r="K376" s="117"/>
      <c r="L376" s="46"/>
      <c r="M376" s="46"/>
      <c r="N376" s="46"/>
      <c r="O376" s="46"/>
      <c r="P376" s="46"/>
      <c r="Q376" s="46"/>
      <c r="R376" s="46"/>
      <c r="S376" s="46"/>
      <c r="T376" s="46"/>
      <c r="U376" s="46"/>
      <c r="V376" s="46"/>
      <c r="W376" s="46"/>
    </row>
    <row r="377" spans="1:23">
      <c r="A377" s="46"/>
      <c r="B377" s="46"/>
      <c r="C377" s="232" t="str">
        <f>'Passby Data Set 2 Output'!E11</f>
        <v>Thalys PBKA</v>
      </c>
      <c r="D377" s="310">
        <f>'Passby Data Set 2 Output'!G166</f>
        <v>70.640479488618368</v>
      </c>
      <c r="E377" s="310">
        <f>'Passby Data Set 2 Output'!G167</f>
        <v>77.539015673016252</v>
      </c>
      <c r="F377" s="310">
        <f>'Passby Data Set 2 Output'!G168</f>
        <v>81.301716883317312</v>
      </c>
      <c r="G377" s="310">
        <f>'Passby Data Set 2 Output'!G169</f>
        <v>84.706618301160361</v>
      </c>
      <c r="H377" s="310">
        <f>'Passby Data Set 2 Output'!G170</f>
        <v>87.941573745784893</v>
      </c>
      <c r="I377" s="310">
        <f>'Passby Data Set 2 Output'!G171</f>
        <v>91.09792183365964</v>
      </c>
      <c r="J377" s="46"/>
      <c r="K377" s="117"/>
      <c r="L377" s="46"/>
      <c r="M377" s="46"/>
      <c r="N377" s="46"/>
      <c r="O377" s="46"/>
      <c r="P377" s="46"/>
      <c r="Q377" s="46"/>
      <c r="R377" s="46"/>
      <c r="S377" s="46"/>
      <c r="T377" s="46"/>
      <c r="U377" s="46"/>
      <c r="V377" s="46"/>
      <c r="W377" s="46"/>
    </row>
    <row r="378" spans="1:23">
      <c r="A378" s="46"/>
      <c r="B378" s="46"/>
      <c r="C378" s="232" t="s">
        <v>489</v>
      </c>
      <c r="D378" s="310">
        <f>'Passby Data Set 5 Output'!G162</f>
        <v>67.06060158602385</v>
      </c>
      <c r="E378" s="310">
        <f>'Passby Data Set 5 Output'!G163</f>
        <v>74.126798358729062</v>
      </c>
      <c r="F378" s="310">
        <f>'Passby Data Set 5 Output'!G164</f>
        <v>78.009257132106796</v>
      </c>
      <c r="G378" s="310">
        <f>'Passby Data Set 5 Output'!G165</f>
        <v>81.533916113026507</v>
      </c>
      <c r="H378" s="310">
        <f>'Passby Data Set 5 Output'!G166</f>
        <v>84.8886291207277</v>
      </c>
      <c r="I378" s="310">
        <f>'Passby Data Set 5 Output'!G167</f>
        <v>88.164734771679122</v>
      </c>
      <c r="J378" s="46"/>
      <c r="K378" s="117"/>
      <c r="L378" s="46"/>
      <c r="M378" s="46"/>
      <c r="N378" s="46"/>
      <c r="O378" s="46"/>
      <c r="P378" s="46"/>
      <c r="Q378" s="46"/>
      <c r="R378" s="46"/>
      <c r="S378" s="46"/>
      <c r="T378" s="46"/>
      <c r="U378" s="46"/>
      <c r="V378" s="46"/>
      <c r="W378" s="46"/>
    </row>
    <row r="379" spans="1:23">
      <c r="A379" s="46"/>
      <c r="B379" s="46"/>
      <c r="C379" s="46"/>
      <c r="D379" s="46"/>
      <c r="E379" s="46"/>
      <c r="F379" s="46"/>
      <c r="G379" s="46"/>
      <c r="H379" s="46"/>
      <c r="I379" s="46"/>
      <c r="J379" s="46"/>
      <c r="K379" s="46"/>
      <c r="L379" s="46"/>
      <c r="M379" s="46"/>
      <c r="N379" s="46"/>
      <c r="O379" s="46"/>
      <c r="P379" s="46"/>
      <c r="Q379" s="46"/>
      <c r="R379" s="46"/>
      <c r="S379" s="46"/>
      <c r="T379" s="46"/>
      <c r="U379" s="46"/>
      <c r="V379" s="46"/>
      <c r="W379" s="46"/>
    </row>
    <row r="380" spans="1:23">
      <c r="A380" s="46"/>
      <c r="B380" s="46"/>
      <c r="C380" s="46"/>
      <c r="D380" s="46"/>
      <c r="E380" s="46"/>
      <c r="F380" s="46"/>
      <c r="G380" s="46"/>
      <c r="H380" s="46"/>
      <c r="I380" s="46"/>
      <c r="J380" s="46"/>
      <c r="K380" s="46"/>
      <c r="L380" s="46"/>
      <c r="M380" s="46"/>
      <c r="N380" s="46"/>
      <c r="O380" s="46"/>
      <c r="P380" s="46"/>
      <c r="Q380" s="46"/>
      <c r="R380" s="46"/>
      <c r="S380" s="46"/>
      <c r="T380" s="46"/>
      <c r="U380" s="46"/>
      <c r="V380" s="46"/>
      <c r="W380" s="46"/>
    </row>
    <row r="381" spans="1:23">
      <c r="A381" s="46"/>
      <c r="B381" s="46"/>
      <c r="C381" s="46"/>
      <c r="D381" s="46"/>
      <c r="E381" s="46"/>
      <c r="F381" s="46"/>
      <c r="G381" s="46"/>
      <c r="H381" s="46"/>
      <c r="I381" s="46"/>
      <c r="J381" s="46"/>
      <c r="K381" s="46"/>
      <c r="L381" s="46"/>
      <c r="M381" s="46"/>
      <c r="N381" s="46"/>
      <c r="O381" s="46"/>
      <c r="P381" s="46"/>
      <c r="Q381" s="46"/>
      <c r="R381" s="46"/>
      <c r="S381" s="46"/>
      <c r="T381" s="46"/>
      <c r="U381" s="46"/>
      <c r="V381" s="46"/>
      <c r="W381" s="46"/>
    </row>
    <row r="382" spans="1:23">
      <c r="A382" s="46"/>
      <c r="B382" s="46"/>
      <c r="C382" s="46"/>
      <c r="D382" s="46"/>
      <c r="E382" s="46"/>
      <c r="F382" s="46"/>
      <c r="G382" s="46"/>
      <c r="H382" s="46"/>
      <c r="I382" s="46"/>
      <c r="J382" s="46"/>
      <c r="K382" s="46"/>
      <c r="L382" s="46"/>
      <c r="M382" s="46"/>
      <c r="N382" s="46"/>
      <c r="O382" s="46"/>
      <c r="P382" s="46"/>
      <c r="Q382" s="46"/>
      <c r="R382" s="46"/>
      <c r="S382" s="46"/>
      <c r="T382" s="46"/>
      <c r="U382" s="46"/>
      <c r="V382" s="46"/>
      <c r="W382" s="46"/>
    </row>
    <row r="383" spans="1:23">
      <c r="A383" s="46"/>
      <c r="B383" s="46"/>
      <c r="C383" s="46"/>
      <c r="D383" s="46"/>
      <c r="E383" s="46"/>
      <c r="F383" s="46"/>
      <c r="G383" s="46"/>
      <c r="H383" s="46"/>
      <c r="I383" s="46"/>
      <c r="J383" s="46"/>
      <c r="K383" s="46"/>
      <c r="L383" s="46"/>
      <c r="M383" s="46"/>
      <c r="N383" s="46"/>
      <c r="O383" s="46"/>
      <c r="P383" s="46"/>
      <c r="Q383" s="46"/>
      <c r="R383" s="46"/>
      <c r="S383" s="46"/>
      <c r="T383" s="46"/>
      <c r="U383" s="46"/>
      <c r="V383" s="46"/>
      <c r="W383" s="46"/>
    </row>
    <row r="384" spans="1:23">
      <c r="A384" s="46"/>
      <c r="B384" s="46"/>
      <c r="C384" s="46"/>
      <c r="D384" s="46"/>
      <c r="E384" s="46"/>
      <c r="F384" s="46"/>
      <c r="G384" s="46"/>
      <c r="H384" s="46"/>
      <c r="I384" s="46"/>
      <c r="J384" s="46"/>
      <c r="K384" s="46"/>
      <c r="L384" s="46"/>
      <c r="M384" s="46"/>
      <c r="N384" s="46"/>
      <c r="O384" s="46"/>
      <c r="P384" s="46"/>
      <c r="Q384" s="46"/>
      <c r="R384" s="46"/>
      <c r="S384" s="46"/>
      <c r="T384" s="46"/>
      <c r="U384" s="46"/>
      <c r="V384" s="46"/>
      <c r="W384" s="46"/>
    </row>
    <row r="385" spans="1:23">
      <c r="A385" s="46"/>
      <c r="B385" s="46"/>
      <c r="C385" s="46"/>
      <c r="D385" s="46"/>
      <c r="E385" s="46"/>
      <c r="F385" s="46"/>
      <c r="G385" s="46"/>
      <c r="H385" s="46"/>
      <c r="I385" s="46"/>
      <c r="J385" s="46"/>
      <c r="K385" s="46"/>
      <c r="L385" s="46"/>
      <c r="M385" s="46"/>
      <c r="N385" s="46"/>
      <c r="O385" s="46"/>
      <c r="P385" s="46"/>
      <c r="Q385" s="46"/>
      <c r="R385" s="46"/>
      <c r="S385" s="46"/>
      <c r="T385" s="46"/>
      <c r="U385" s="46"/>
      <c r="V385" s="46"/>
      <c r="W385" s="46"/>
    </row>
    <row r="386" spans="1:23">
      <c r="A386" s="46"/>
      <c r="B386" s="46"/>
      <c r="C386" s="46"/>
      <c r="D386" s="46"/>
      <c r="E386" s="46"/>
      <c r="F386" s="46"/>
      <c r="G386" s="46"/>
      <c r="H386" s="46"/>
      <c r="I386" s="46"/>
      <c r="J386" s="46"/>
      <c r="K386" s="46"/>
      <c r="L386" s="46"/>
      <c r="M386" s="46"/>
      <c r="N386" s="46"/>
      <c r="O386" s="46"/>
      <c r="P386" s="46"/>
      <c r="Q386" s="46"/>
      <c r="R386" s="46"/>
      <c r="S386" s="46"/>
      <c r="T386" s="46"/>
      <c r="U386" s="46"/>
      <c r="V386" s="46"/>
      <c r="W386" s="46"/>
    </row>
    <row r="387" spans="1:23">
      <c r="A387" s="46"/>
      <c r="B387" s="46"/>
      <c r="C387" s="46"/>
      <c r="D387" s="46"/>
      <c r="E387" s="46"/>
      <c r="F387" s="46"/>
      <c r="G387" s="46"/>
      <c r="H387" s="46"/>
      <c r="I387" s="46"/>
      <c r="J387" s="46"/>
      <c r="K387" s="46"/>
      <c r="L387" s="46"/>
      <c r="M387" s="46"/>
      <c r="N387" s="46"/>
      <c r="O387" s="46"/>
      <c r="P387" s="46"/>
      <c r="Q387" s="46"/>
      <c r="R387" s="46"/>
      <c r="S387" s="46"/>
      <c r="T387" s="46"/>
      <c r="U387" s="46"/>
      <c r="V387" s="46"/>
      <c r="W387" s="46"/>
    </row>
    <row r="388" spans="1:23">
      <c r="A388" s="46"/>
      <c r="B388" s="46"/>
      <c r="C388" s="46"/>
      <c r="D388" s="46"/>
      <c r="E388" s="46"/>
      <c r="F388" s="46"/>
      <c r="G388" s="46"/>
      <c r="H388" s="46"/>
      <c r="I388" s="46"/>
      <c r="J388" s="46"/>
      <c r="K388" s="46"/>
      <c r="L388" s="46"/>
      <c r="M388" s="46"/>
      <c r="N388" s="46"/>
      <c r="O388" s="46"/>
      <c r="P388" s="46"/>
      <c r="Q388" s="46"/>
      <c r="R388" s="46"/>
      <c r="S388" s="46"/>
      <c r="T388" s="46"/>
      <c r="U388" s="46"/>
      <c r="V388" s="46"/>
      <c r="W388" s="46"/>
    </row>
    <row r="389" spans="1:23">
      <c r="A389" s="46"/>
      <c r="B389" s="46"/>
      <c r="C389" s="46"/>
      <c r="D389" s="46"/>
      <c r="E389" s="46"/>
      <c r="F389" s="46"/>
      <c r="G389" s="46"/>
      <c r="H389" s="46"/>
      <c r="I389" s="46"/>
      <c r="J389" s="46"/>
      <c r="K389" s="46"/>
      <c r="L389" s="46"/>
      <c r="M389" s="46"/>
      <c r="N389" s="46"/>
      <c r="O389" s="46"/>
      <c r="P389" s="46"/>
      <c r="Q389" s="46"/>
      <c r="R389" s="46"/>
      <c r="S389" s="46"/>
      <c r="T389" s="46"/>
      <c r="U389" s="46"/>
      <c r="V389" s="46"/>
      <c r="W389" s="46"/>
    </row>
    <row r="390" spans="1:23">
      <c r="A390" s="46"/>
      <c r="B390" s="46"/>
      <c r="C390" s="46"/>
      <c r="D390" s="46"/>
      <c r="E390" s="46"/>
      <c r="F390" s="46"/>
      <c r="G390" s="46"/>
      <c r="H390" s="46"/>
      <c r="I390" s="46"/>
      <c r="J390" s="46"/>
      <c r="K390" s="46"/>
      <c r="L390" s="46"/>
      <c r="M390" s="46"/>
      <c r="N390" s="46"/>
      <c r="O390" s="46"/>
      <c r="P390" s="46"/>
      <c r="Q390" s="46"/>
      <c r="R390" s="46"/>
      <c r="S390" s="46"/>
      <c r="T390" s="46"/>
      <c r="U390" s="46"/>
      <c r="V390" s="46"/>
      <c r="W390" s="46"/>
    </row>
    <row r="391" spans="1:23">
      <c r="A391" s="46"/>
      <c r="B391" s="46"/>
      <c r="C391" s="46"/>
      <c r="D391" s="46"/>
      <c r="E391" s="46"/>
      <c r="F391" s="46"/>
      <c r="G391" s="46"/>
      <c r="H391" s="46"/>
      <c r="I391" s="46"/>
      <c r="J391" s="46"/>
      <c r="K391" s="46"/>
      <c r="L391" s="46"/>
      <c r="M391" s="46"/>
      <c r="N391" s="46"/>
      <c r="O391" s="46"/>
      <c r="P391" s="46"/>
      <c r="Q391" s="46"/>
      <c r="R391" s="46"/>
      <c r="S391" s="46"/>
      <c r="T391" s="46"/>
      <c r="U391" s="46"/>
      <c r="V391" s="46"/>
      <c r="W391" s="46"/>
    </row>
    <row r="392" spans="1:23">
      <c r="A392" s="46"/>
      <c r="B392" s="46"/>
      <c r="C392" s="46"/>
      <c r="D392" s="46"/>
      <c r="E392" s="46"/>
      <c r="F392" s="46"/>
      <c r="G392" s="46"/>
      <c r="H392" s="46"/>
      <c r="I392" s="46"/>
      <c r="J392" s="46"/>
      <c r="K392" s="46"/>
      <c r="L392" s="46"/>
      <c r="M392" s="46"/>
      <c r="N392" s="46"/>
      <c r="O392" s="46"/>
      <c r="P392" s="46"/>
      <c r="Q392" s="46"/>
      <c r="R392" s="46"/>
      <c r="S392" s="46"/>
      <c r="T392" s="46"/>
      <c r="U392" s="46"/>
      <c r="V392" s="46"/>
      <c r="W392" s="46"/>
    </row>
    <row r="393" spans="1:23">
      <c r="A393" s="46"/>
      <c r="B393" s="46"/>
      <c r="C393" s="46"/>
      <c r="D393" s="46"/>
      <c r="E393" s="46"/>
      <c r="F393" s="46"/>
      <c r="G393" s="46"/>
      <c r="H393" s="46"/>
      <c r="I393" s="46"/>
      <c r="J393" s="46"/>
      <c r="K393" s="46"/>
      <c r="L393" s="46"/>
      <c r="M393" s="46"/>
      <c r="N393" s="46"/>
      <c r="O393" s="46"/>
      <c r="P393" s="46"/>
      <c r="Q393" s="46"/>
      <c r="R393" s="46"/>
      <c r="S393" s="46"/>
      <c r="T393" s="46"/>
      <c r="U393" s="46"/>
      <c r="V393" s="46"/>
      <c r="W393" s="46"/>
    </row>
    <row r="394" spans="1:23">
      <c r="A394" s="46"/>
      <c r="B394" s="46"/>
      <c r="C394" s="46"/>
      <c r="D394" s="46"/>
      <c r="E394" s="46"/>
      <c r="F394" s="46"/>
      <c r="G394" s="46"/>
      <c r="H394" s="46"/>
      <c r="I394" s="46"/>
      <c r="J394" s="46"/>
      <c r="K394" s="46"/>
      <c r="L394" s="46"/>
      <c r="M394" s="46"/>
      <c r="N394" s="46"/>
      <c r="O394" s="46"/>
      <c r="P394" s="46"/>
      <c r="Q394" s="46"/>
      <c r="R394" s="46"/>
      <c r="S394" s="46"/>
      <c r="T394" s="46"/>
      <c r="U394" s="46"/>
      <c r="V394" s="46"/>
      <c r="W394" s="46"/>
    </row>
    <row r="395" spans="1:23">
      <c r="A395" s="46"/>
      <c r="B395" s="46"/>
      <c r="C395" s="46"/>
      <c r="D395" s="46"/>
      <c r="E395" s="46"/>
      <c r="F395" s="46"/>
      <c r="G395" s="46"/>
      <c r="H395" s="46"/>
      <c r="I395" s="46"/>
      <c r="J395" s="46"/>
      <c r="K395" s="46"/>
      <c r="L395" s="46" t="s">
        <v>502</v>
      </c>
      <c r="M395" s="46"/>
      <c r="N395" s="46"/>
      <c r="O395" s="46"/>
      <c r="P395" s="46"/>
      <c r="Q395" s="46"/>
      <c r="R395" s="46"/>
      <c r="S395" s="46"/>
      <c r="T395" s="46"/>
      <c r="U395" s="46"/>
      <c r="V395" s="46"/>
      <c r="W395" s="46"/>
    </row>
    <row r="396" spans="1:23">
      <c r="A396" s="46"/>
      <c r="B396" s="46"/>
      <c r="C396" s="46"/>
      <c r="D396" s="46"/>
      <c r="E396" s="46"/>
      <c r="F396" s="46"/>
      <c r="G396" s="46"/>
      <c r="H396" s="46"/>
      <c r="I396" s="46"/>
      <c r="J396" s="46"/>
      <c r="K396" s="46"/>
      <c r="L396" s="46"/>
      <c r="M396" s="46"/>
      <c r="N396" s="46"/>
      <c r="O396" s="46"/>
      <c r="P396" s="46"/>
      <c r="Q396" s="46"/>
      <c r="R396" s="46"/>
      <c r="S396" s="46"/>
      <c r="T396" s="46"/>
      <c r="U396" s="46"/>
      <c r="V396" s="46"/>
      <c r="W396" s="46"/>
    </row>
    <row r="397" spans="1:23">
      <c r="A397" s="46"/>
      <c r="B397" s="46"/>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84"/>
  <sheetViews>
    <sheetView zoomScale="90" zoomScaleNormal="90" workbookViewId="0">
      <selection activeCell="H6" sqref="H6"/>
    </sheetView>
  </sheetViews>
  <sheetFormatPr defaultColWidth="9.1796875" defaultRowHeight="14.5"/>
  <cols>
    <col min="1" max="4" width="9.1796875" style="40"/>
    <col min="5" max="5" width="10.7265625" style="40" customWidth="1"/>
    <col min="6" max="6" width="29.7265625" style="40" customWidth="1"/>
    <col min="7" max="7" width="32.36328125" style="40" customWidth="1"/>
    <col min="8" max="8" width="15.1796875" style="40" customWidth="1"/>
    <col min="9" max="9" width="28.81640625" style="40" customWidth="1"/>
    <col min="10" max="10" width="12.7265625" style="40" customWidth="1"/>
    <col min="11" max="11" width="13.81640625" style="40" customWidth="1"/>
    <col min="12" max="12" width="9.1796875" style="40"/>
    <col min="13" max="13" width="14" style="40" customWidth="1"/>
    <col min="14" max="14" width="14.26953125" style="40" customWidth="1"/>
    <col min="15" max="15" width="26.453125" style="40" customWidth="1"/>
    <col min="16" max="16384" width="9.1796875" style="40"/>
  </cols>
  <sheetData>
    <row r="1" spans="1:15">
      <c r="A1" s="46"/>
      <c r="B1" s="7"/>
      <c r="C1" s="8"/>
      <c r="D1" s="8"/>
      <c r="E1" s="8"/>
      <c r="F1" s="8"/>
      <c r="G1" s="8"/>
      <c r="H1" s="8"/>
      <c r="I1" s="8"/>
      <c r="J1" s="8"/>
      <c r="K1" s="8"/>
      <c r="L1" s="8"/>
      <c r="M1" s="8"/>
      <c r="N1" s="8"/>
      <c r="O1" s="9"/>
    </row>
    <row r="2" spans="1:15">
      <c r="A2" s="46"/>
      <c r="B2" s="10"/>
      <c r="C2" s="11"/>
      <c r="D2" s="11"/>
      <c r="E2" s="11"/>
      <c r="F2" s="11"/>
      <c r="G2" s="11"/>
      <c r="H2" s="46" t="s">
        <v>2</v>
      </c>
      <c r="I2" s="11"/>
      <c r="J2" s="11"/>
      <c r="K2" s="11"/>
      <c r="L2" s="11"/>
      <c r="M2" s="11"/>
      <c r="N2" s="11"/>
      <c r="O2" s="12"/>
    </row>
    <row r="3" spans="1:15">
      <c r="A3" s="46"/>
      <c r="B3" s="10"/>
      <c r="C3" s="11"/>
      <c r="D3" s="11"/>
      <c r="E3" s="11"/>
      <c r="F3" s="11"/>
      <c r="G3" s="11"/>
      <c r="H3" s="46" t="s">
        <v>4</v>
      </c>
      <c r="I3" s="11"/>
      <c r="J3" s="11"/>
      <c r="K3" s="11"/>
      <c r="L3" s="11"/>
      <c r="M3" s="11"/>
      <c r="N3" s="11"/>
      <c r="O3" s="12"/>
    </row>
    <row r="4" spans="1:15">
      <c r="A4" s="46"/>
      <c r="B4" s="10"/>
      <c r="C4" s="11"/>
      <c r="D4" s="11"/>
      <c r="E4" s="11"/>
      <c r="F4" s="11"/>
      <c r="G4" s="11"/>
      <c r="H4" s="11"/>
      <c r="I4" s="11"/>
      <c r="J4" s="11"/>
      <c r="K4" s="11"/>
      <c r="L4" s="11"/>
      <c r="M4" s="11"/>
      <c r="N4" s="11"/>
      <c r="O4" s="12"/>
    </row>
    <row r="5" spans="1:15">
      <c r="A5" s="46"/>
      <c r="B5" s="10"/>
      <c r="C5" s="11"/>
      <c r="D5" s="11"/>
      <c r="E5" s="11"/>
      <c r="F5" s="11"/>
      <c r="G5" s="11"/>
      <c r="H5" s="11"/>
      <c r="I5" s="11"/>
      <c r="J5" s="11"/>
      <c r="K5" s="11"/>
      <c r="L5" s="11"/>
      <c r="M5" s="11"/>
      <c r="N5" s="11"/>
      <c r="O5" s="12"/>
    </row>
    <row r="6" spans="1:15">
      <c r="A6" s="46"/>
      <c r="B6" s="10"/>
      <c r="C6" s="13" t="s">
        <v>0</v>
      </c>
      <c r="D6" s="11"/>
      <c r="E6" s="11"/>
      <c r="F6" s="11"/>
      <c r="G6" s="734" t="s">
        <v>559</v>
      </c>
      <c r="H6" s="153" t="s">
        <v>897</v>
      </c>
      <c r="J6" s="11"/>
      <c r="K6" s="11"/>
      <c r="L6" s="14" t="s">
        <v>5</v>
      </c>
      <c r="M6" s="15">
        <f>'Program Overview'!K6</f>
        <v>7</v>
      </c>
      <c r="N6" s="16">
        <f>'Program Overview'!M6</f>
        <v>43752</v>
      </c>
      <c r="O6" s="12"/>
    </row>
    <row r="7" spans="1:15">
      <c r="A7" s="46"/>
      <c r="B7" s="10"/>
      <c r="C7" s="13" t="s">
        <v>1</v>
      </c>
      <c r="D7" s="11"/>
      <c r="E7" s="11"/>
      <c r="F7" s="11"/>
      <c r="G7" s="11"/>
      <c r="H7" s="11"/>
      <c r="I7" s="11"/>
      <c r="J7" s="11"/>
      <c r="K7" s="11"/>
      <c r="L7" s="11"/>
      <c r="M7" s="11"/>
      <c r="N7" s="11"/>
      <c r="O7" s="12"/>
    </row>
    <row r="8" spans="1:15">
      <c r="A8" s="46"/>
      <c r="B8" s="17"/>
      <c r="C8" s="18"/>
      <c r="D8" s="18"/>
      <c r="E8" s="18"/>
      <c r="F8" s="18"/>
      <c r="G8" s="18"/>
      <c r="H8" s="18"/>
      <c r="I8" s="18"/>
      <c r="J8" s="11"/>
      <c r="K8" s="11"/>
      <c r="L8" s="11"/>
      <c r="M8" s="11"/>
      <c r="N8" s="11"/>
      <c r="O8" s="12"/>
    </row>
    <row r="9" spans="1:15" ht="12" customHeight="1">
      <c r="A9" s="46"/>
      <c r="B9" s="37"/>
      <c r="C9" s="59" t="s">
        <v>197</v>
      </c>
      <c r="D9" s="59"/>
      <c r="E9" s="94">
        <v>1</v>
      </c>
      <c r="F9" s="59"/>
      <c r="G9" s="207"/>
      <c r="H9" s="59"/>
      <c r="I9" s="59"/>
      <c r="J9" s="207"/>
      <c r="K9" s="59"/>
      <c r="L9" s="59"/>
      <c r="M9" s="59"/>
      <c r="N9" s="59"/>
      <c r="O9" s="227"/>
    </row>
    <row r="10" spans="1:15" ht="23" customHeight="1">
      <c r="A10" s="46"/>
      <c r="B10" s="38"/>
      <c r="C10" s="60" t="s">
        <v>9</v>
      </c>
      <c r="D10" s="60"/>
      <c r="E10" s="95" t="s">
        <v>10</v>
      </c>
      <c r="F10" s="60"/>
      <c r="G10" s="209"/>
      <c r="H10" s="60" t="s">
        <v>200</v>
      </c>
      <c r="I10" s="60"/>
      <c r="J10" s="209"/>
      <c r="K10" s="60"/>
      <c r="L10" s="60"/>
      <c r="M10" s="384" t="s">
        <v>203</v>
      </c>
      <c r="N10" s="60"/>
      <c r="O10" s="228"/>
    </row>
    <row r="11" spans="1:15">
      <c r="A11" s="46"/>
      <c r="B11" s="7"/>
      <c r="C11" s="8"/>
      <c r="D11" s="8"/>
      <c r="E11" s="8"/>
      <c r="F11" s="9"/>
      <c r="G11" s="67" t="s">
        <v>198</v>
      </c>
      <c r="H11" s="62"/>
      <c r="I11" s="63">
        <v>2016</v>
      </c>
      <c r="J11" s="75" t="s">
        <v>211</v>
      </c>
      <c r="K11" s="74"/>
      <c r="L11" s="73"/>
      <c r="M11" s="11"/>
      <c r="N11" s="11"/>
      <c r="O11" s="12"/>
    </row>
    <row r="12" spans="1:15" ht="22" customHeight="1">
      <c r="A12" s="46"/>
      <c r="B12" s="10"/>
      <c r="C12" s="11"/>
      <c r="D12" s="11"/>
      <c r="E12" s="11"/>
      <c r="F12" s="12"/>
      <c r="G12" s="67" t="s">
        <v>199</v>
      </c>
      <c r="H12" s="62"/>
      <c r="I12" s="64" t="s">
        <v>11</v>
      </c>
      <c r="J12" s="286" t="s">
        <v>195</v>
      </c>
      <c r="K12" s="72"/>
      <c r="L12" s="73"/>
      <c r="M12" s="11"/>
      <c r="N12" s="11"/>
      <c r="O12" s="12"/>
    </row>
    <row r="13" spans="1:15">
      <c r="A13" s="46"/>
      <c r="B13" s="10"/>
      <c r="C13" s="11"/>
      <c r="D13" s="11"/>
      <c r="E13" s="11"/>
      <c r="F13" s="12"/>
      <c r="G13" s="67" t="s">
        <v>12</v>
      </c>
      <c r="H13" s="9"/>
      <c r="I13" s="65" t="s">
        <v>13</v>
      </c>
      <c r="J13" s="71"/>
      <c r="K13" s="74"/>
      <c r="L13" s="73"/>
      <c r="M13" s="11"/>
      <c r="N13" s="11"/>
      <c r="O13" s="12"/>
    </row>
    <row r="14" spans="1:15">
      <c r="A14" s="46"/>
      <c r="B14" s="10"/>
      <c r="C14" s="11"/>
      <c r="D14" s="11"/>
      <c r="E14" s="11"/>
      <c r="F14" s="12"/>
      <c r="G14" s="449"/>
      <c r="H14" s="397" t="s">
        <v>201</v>
      </c>
      <c r="I14" s="450"/>
      <c r="J14" s="75"/>
      <c r="K14" s="66"/>
      <c r="L14" s="76"/>
      <c r="M14" s="11"/>
      <c r="N14" s="11"/>
      <c r="O14" s="12"/>
    </row>
    <row r="15" spans="1:15">
      <c r="A15" s="46"/>
      <c r="B15" s="10"/>
      <c r="C15" s="11"/>
      <c r="D15" s="11"/>
      <c r="E15" s="11"/>
      <c r="F15" s="12"/>
      <c r="G15" s="68" t="s">
        <v>29</v>
      </c>
      <c r="H15" s="405" t="s">
        <v>30</v>
      </c>
      <c r="I15" s="42" t="s">
        <v>18</v>
      </c>
      <c r="J15" s="77"/>
      <c r="K15" s="66"/>
      <c r="L15" s="76"/>
      <c r="M15" s="11"/>
      <c r="N15" s="11"/>
      <c r="O15" s="12"/>
    </row>
    <row r="16" spans="1:15">
      <c r="A16" s="46"/>
      <c r="B16" s="10"/>
      <c r="C16" s="11"/>
      <c r="D16" s="11"/>
      <c r="E16" s="11"/>
      <c r="F16" s="12"/>
      <c r="G16" s="487" t="s">
        <v>202</v>
      </c>
      <c r="H16" s="487"/>
      <c r="I16" s="488"/>
      <c r="J16" s="77"/>
      <c r="K16" s="66"/>
      <c r="L16" s="76"/>
      <c r="M16" s="11"/>
      <c r="N16" s="11"/>
      <c r="O16" s="12"/>
    </row>
    <row r="17" spans="1:15">
      <c r="A17" s="46"/>
      <c r="B17" s="10"/>
      <c r="C17" s="11"/>
      <c r="D17" s="11"/>
      <c r="E17" s="11"/>
      <c r="F17" s="11"/>
      <c r="G17" s="97" t="s">
        <v>14</v>
      </c>
      <c r="H17" s="61">
        <v>23.5</v>
      </c>
      <c r="I17" s="61" t="s">
        <v>15</v>
      </c>
      <c r="J17" s="75"/>
      <c r="K17" s="66"/>
      <c r="L17" s="76"/>
      <c r="M17" s="11"/>
      <c r="N17" s="11"/>
      <c r="O17" s="12"/>
    </row>
    <row r="18" spans="1:15">
      <c r="A18" s="46"/>
      <c r="B18" s="10"/>
      <c r="C18" s="11"/>
      <c r="D18" s="11"/>
      <c r="E18" s="11"/>
      <c r="F18" s="11"/>
      <c r="G18" s="97" t="s">
        <v>16</v>
      </c>
      <c r="H18" s="61">
        <v>25.1</v>
      </c>
      <c r="I18" s="61" t="s">
        <v>15</v>
      </c>
      <c r="J18" s="77"/>
      <c r="K18" s="66"/>
      <c r="L18" s="76"/>
      <c r="M18" s="11"/>
      <c r="N18" s="11"/>
      <c r="O18" s="12"/>
    </row>
    <row r="19" spans="1:15">
      <c r="A19" s="46"/>
      <c r="B19" s="10"/>
      <c r="C19" s="11"/>
      <c r="D19" s="11"/>
      <c r="E19" s="11"/>
      <c r="F19" s="11"/>
      <c r="G19" s="97" t="s">
        <v>21</v>
      </c>
      <c r="H19" s="61">
        <v>2</v>
      </c>
      <c r="I19" s="61"/>
      <c r="J19" s="77"/>
      <c r="K19" s="66"/>
      <c r="L19" s="76"/>
      <c r="M19" s="11"/>
      <c r="N19" s="11"/>
      <c r="O19" s="12"/>
    </row>
    <row r="20" spans="1:15">
      <c r="A20" s="46"/>
      <c r="B20" s="10"/>
      <c r="C20" s="11"/>
      <c r="D20" s="11"/>
      <c r="E20" s="11"/>
      <c r="F20" s="11"/>
      <c r="G20" s="97" t="s">
        <v>33</v>
      </c>
      <c r="H20" s="98">
        <v>4</v>
      </c>
      <c r="I20" s="61"/>
      <c r="J20" s="46"/>
      <c r="K20" s="66"/>
      <c r="L20" s="76"/>
      <c r="M20" s="11"/>
      <c r="N20" s="11"/>
      <c r="O20" s="12"/>
    </row>
    <row r="21" spans="1:15">
      <c r="A21" s="46"/>
      <c r="B21" s="17"/>
      <c r="C21" s="18"/>
      <c r="D21" s="18"/>
      <c r="E21" s="18"/>
      <c r="F21" s="18"/>
      <c r="G21" s="97" t="s">
        <v>17</v>
      </c>
      <c r="H21" s="61">
        <v>147.4</v>
      </c>
      <c r="I21" s="61" t="s">
        <v>15</v>
      </c>
      <c r="J21" s="46"/>
      <c r="K21" s="15"/>
      <c r="L21" s="11"/>
      <c r="M21" s="11"/>
      <c r="N21" s="11"/>
      <c r="O21" s="78"/>
    </row>
    <row r="22" spans="1:15" ht="38.25" customHeight="1">
      <c r="A22" s="46"/>
      <c r="B22" s="388" t="s">
        <v>192</v>
      </c>
      <c r="C22" s="536" t="s">
        <v>212</v>
      </c>
      <c r="D22" s="491"/>
      <c r="E22" s="391" t="s">
        <v>26</v>
      </c>
      <c r="F22" s="390" t="s">
        <v>196</v>
      </c>
      <c r="G22" s="97" t="s">
        <v>189</v>
      </c>
      <c r="H22" s="70">
        <v>400</v>
      </c>
      <c r="I22" s="70" t="s">
        <v>19</v>
      </c>
      <c r="J22" s="412"/>
      <c r="K22" s="411"/>
      <c r="L22" s="411"/>
      <c r="M22" s="411" t="s">
        <v>734</v>
      </c>
      <c r="N22" s="411"/>
      <c r="O22" s="409"/>
    </row>
    <row r="23" spans="1:15" ht="29" customHeight="1">
      <c r="A23" s="46"/>
      <c r="B23" s="471"/>
      <c r="C23" s="2" t="s">
        <v>27</v>
      </c>
      <c r="D23" s="2" t="s">
        <v>28</v>
      </c>
      <c r="E23" s="490"/>
      <c r="F23" s="489"/>
      <c r="G23" s="97" t="s">
        <v>22</v>
      </c>
      <c r="H23" s="70">
        <v>2</v>
      </c>
      <c r="I23" s="99"/>
      <c r="J23" s="10" t="s">
        <v>209</v>
      </c>
      <c r="K23" s="11"/>
      <c r="L23" s="11"/>
      <c r="M23" s="11"/>
      <c r="N23" s="11"/>
      <c r="O23" s="12"/>
    </row>
    <row r="24" spans="1:15" ht="15" customHeight="1">
      <c r="A24" s="46"/>
      <c r="B24" s="23">
        <v>1</v>
      </c>
      <c r="C24" s="24">
        <v>0</v>
      </c>
      <c r="D24" s="24">
        <v>79.099999999999994</v>
      </c>
      <c r="E24" s="25">
        <f t="shared" ref="E24:E82" si="0">0.00002*(10^(D24/20))</f>
        <v>0.18031422752119131</v>
      </c>
      <c r="F24" s="58"/>
      <c r="G24" s="97" t="s">
        <v>23</v>
      </c>
      <c r="H24" s="100">
        <v>7.5</v>
      </c>
      <c r="I24" s="99" t="s">
        <v>15</v>
      </c>
      <c r="J24" s="10" t="s">
        <v>208</v>
      </c>
      <c r="K24" s="11"/>
      <c r="L24" s="11"/>
      <c r="M24" s="11"/>
      <c r="N24" s="11"/>
      <c r="O24" s="12"/>
    </row>
    <row r="25" spans="1:15" ht="15" customHeight="1">
      <c r="A25" s="46"/>
      <c r="B25" s="23">
        <f>B24+1</f>
        <v>2</v>
      </c>
      <c r="C25" s="26">
        <f>C24+0.05</f>
        <v>0.05</v>
      </c>
      <c r="D25" s="24">
        <v>79.400000000000006</v>
      </c>
      <c r="E25" s="25">
        <f t="shared" si="0"/>
        <v>0.18665086015939844</v>
      </c>
      <c r="F25" s="58"/>
      <c r="G25" s="97" t="s">
        <v>24</v>
      </c>
      <c r="H25" s="100">
        <v>3.5</v>
      </c>
      <c r="I25" s="99" t="s">
        <v>15</v>
      </c>
      <c r="J25" s="10" t="s">
        <v>210</v>
      </c>
      <c r="K25" s="11"/>
      <c r="L25" s="11"/>
      <c r="M25" s="11"/>
      <c r="N25" s="11"/>
      <c r="O25" s="12"/>
    </row>
    <row r="26" spans="1:15" ht="15" customHeight="1">
      <c r="A26" s="46"/>
      <c r="B26" s="23">
        <f t="shared" ref="B26:B82" si="1">B25+1</f>
        <v>3</v>
      </c>
      <c r="C26" s="26">
        <f t="shared" ref="C26:C82" si="2">C25+0.05</f>
        <v>0.1</v>
      </c>
      <c r="D26" s="24">
        <v>79.900000000000006</v>
      </c>
      <c r="E26" s="25">
        <f t="shared" si="0"/>
        <v>0.19771061893138797</v>
      </c>
      <c r="F26" s="58"/>
      <c r="G26" s="97" t="s">
        <v>815</v>
      </c>
      <c r="H26" s="100">
        <v>0.05</v>
      </c>
      <c r="I26" s="99" t="s">
        <v>20</v>
      </c>
      <c r="J26" s="10"/>
      <c r="K26" s="11"/>
      <c r="L26" s="11"/>
      <c r="M26" s="11"/>
      <c r="N26" s="11"/>
      <c r="O26" s="12"/>
    </row>
    <row r="27" spans="1:15" ht="15" customHeight="1">
      <c r="A27" s="46"/>
      <c r="B27" s="23">
        <f t="shared" si="1"/>
        <v>4</v>
      </c>
      <c r="C27" s="26">
        <f t="shared" si="2"/>
        <v>0.15000000000000002</v>
      </c>
      <c r="D27" s="24">
        <v>80.2</v>
      </c>
      <c r="E27" s="25">
        <f t="shared" si="0"/>
        <v>0.204658598456151</v>
      </c>
      <c r="F27" s="58"/>
      <c r="G27" s="97" t="s">
        <v>816</v>
      </c>
      <c r="H27" s="100">
        <v>59</v>
      </c>
      <c r="I27" s="99"/>
      <c r="J27" s="17"/>
      <c r="K27" s="18"/>
      <c r="L27" s="18"/>
      <c r="M27" s="18"/>
      <c r="N27" s="18"/>
      <c r="O27" s="19"/>
    </row>
    <row r="28" spans="1:15" ht="15" customHeight="1">
      <c r="A28" s="46"/>
      <c r="B28" s="23">
        <f t="shared" si="1"/>
        <v>5</v>
      </c>
      <c r="C28" s="26">
        <f t="shared" si="2"/>
        <v>0.2</v>
      </c>
      <c r="D28" s="24">
        <v>80.7</v>
      </c>
      <c r="E28" s="25">
        <f t="shared" si="0"/>
        <v>0.21678538280424084</v>
      </c>
      <c r="F28" s="58"/>
      <c r="G28" s="79"/>
      <c r="H28" s="80"/>
      <c r="I28" s="81"/>
      <c r="J28" s="46"/>
      <c r="K28" s="46"/>
      <c r="L28" s="46"/>
      <c r="M28" s="46"/>
      <c r="N28" s="46"/>
      <c r="O28" s="46"/>
    </row>
    <row r="29" spans="1:15" ht="15" customHeight="1">
      <c r="A29" s="46"/>
      <c r="B29" s="23">
        <f t="shared" si="1"/>
        <v>6</v>
      </c>
      <c r="C29" s="26">
        <f t="shared" si="2"/>
        <v>0.25</v>
      </c>
      <c r="D29" s="24">
        <v>81.599999999999994</v>
      </c>
      <c r="E29" s="25">
        <f t="shared" si="0"/>
        <v>0.24045288692348304</v>
      </c>
      <c r="F29" s="58"/>
      <c r="G29" s="460"/>
      <c r="H29" s="449"/>
      <c r="I29" s="449" t="s">
        <v>204</v>
      </c>
      <c r="J29" s="449"/>
      <c r="K29" s="449"/>
      <c r="L29" s="449"/>
      <c r="M29" s="449"/>
      <c r="N29" s="449"/>
      <c r="O29" s="450"/>
    </row>
    <row r="30" spans="1:15" ht="15" customHeight="1">
      <c r="A30" s="46"/>
      <c r="B30" s="23">
        <f t="shared" si="1"/>
        <v>7</v>
      </c>
      <c r="C30" s="26">
        <f t="shared" si="2"/>
        <v>0.3</v>
      </c>
      <c r="D30" s="24">
        <v>82.1</v>
      </c>
      <c r="E30" s="25">
        <f t="shared" si="0"/>
        <v>0.25470061620333234</v>
      </c>
      <c r="F30" s="58" t="s">
        <v>190</v>
      </c>
      <c r="G30" s="82"/>
      <c r="H30" s="82"/>
      <c r="I30" s="81"/>
      <c r="J30" s="46"/>
      <c r="K30" s="46"/>
      <c r="L30" s="46"/>
      <c r="M30" s="46"/>
      <c r="N30" s="46"/>
      <c r="O30" s="46"/>
    </row>
    <row r="31" spans="1:15" ht="15" customHeight="1">
      <c r="A31" s="46"/>
      <c r="B31" s="23">
        <f t="shared" si="1"/>
        <v>8</v>
      </c>
      <c r="C31" s="26">
        <f t="shared" si="2"/>
        <v>0.35</v>
      </c>
      <c r="D31" s="24">
        <v>83.2</v>
      </c>
      <c r="E31" s="25">
        <f t="shared" si="0"/>
        <v>0.28908795414918587</v>
      </c>
      <c r="F31" s="58"/>
      <c r="G31" s="82"/>
      <c r="H31" s="82"/>
      <c r="I31" s="81"/>
      <c r="J31" s="46"/>
      <c r="K31" s="46"/>
      <c r="L31" s="46"/>
      <c r="M31" s="46"/>
      <c r="N31" s="46"/>
      <c r="O31" s="46"/>
    </row>
    <row r="32" spans="1:15" ht="15" customHeight="1">
      <c r="A32" s="46"/>
      <c r="B32" s="23">
        <f t="shared" si="1"/>
        <v>9</v>
      </c>
      <c r="C32" s="26">
        <f t="shared" si="2"/>
        <v>0.39999999999999997</v>
      </c>
      <c r="D32" s="24">
        <v>84.2</v>
      </c>
      <c r="E32" s="25">
        <f t="shared" si="0"/>
        <v>0.32436201947178622</v>
      </c>
      <c r="F32" s="58"/>
      <c r="G32" s="82"/>
      <c r="H32" s="82"/>
      <c r="I32" s="81"/>
      <c r="J32" s="46"/>
      <c r="K32" s="46"/>
      <c r="L32" s="46"/>
      <c r="M32" s="46"/>
      <c r="N32" s="46"/>
      <c r="O32" s="46"/>
    </row>
    <row r="33" spans="1:15" ht="15" customHeight="1">
      <c r="A33" s="46"/>
      <c r="B33" s="23">
        <f t="shared" si="1"/>
        <v>10</v>
      </c>
      <c r="C33" s="26">
        <f t="shared" si="2"/>
        <v>0.44999999999999996</v>
      </c>
      <c r="D33" s="24">
        <v>85.2</v>
      </c>
      <c r="E33" s="25">
        <f t="shared" si="0"/>
        <v>0.36394017172199677</v>
      </c>
      <c r="F33" s="58"/>
      <c r="G33" s="82"/>
      <c r="H33" s="82"/>
      <c r="I33" s="81"/>
      <c r="J33" s="46"/>
      <c r="K33" s="46"/>
      <c r="L33" s="46"/>
      <c r="M33" s="46"/>
      <c r="N33" s="46"/>
      <c r="O33" s="46"/>
    </row>
    <row r="34" spans="1:15" ht="15" customHeight="1">
      <c r="A34" s="46"/>
      <c r="B34" s="23">
        <f t="shared" si="1"/>
        <v>11</v>
      </c>
      <c r="C34" s="26">
        <f t="shared" si="2"/>
        <v>0.49999999999999994</v>
      </c>
      <c r="D34" s="24">
        <v>86.1</v>
      </c>
      <c r="E34" s="25">
        <f t="shared" si="0"/>
        <v>0.40367327273631209</v>
      </c>
      <c r="F34" s="58"/>
      <c r="G34" s="82"/>
      <c r="H34" s="82"/>
      <c r="I34" s="81"/>
      <c r="J34" s="46"/>
      <c r="K34" s="46"/>
      <c r="L34" s="46"/>
      <c r="M34" s="46"/>
      <c r="N34" s="46"/>
      <c r="O34" s="46"/>
    </row>
    <row r="35" spans="1:15" ht="15" customHeight="1">
      <c r="A35" s="46"/>
      <c r="B35" s="23">
        <f t="shared" si="1"/>
        <v>12</v>
      </c>
      <c r="C35" s="26">
        <f t="shared" si="2"/>
        <v>0.54999999999999993</v>
      </c>
      <c r="D35" s="24">
        <v>86.6</v>
      </c>
      <c r="E35" s="25">
        <f t="shared" si="0"/>
        <v>0.427592417900447</v>
      </c>
      <c r="F35" s="58"/>
      <c r="G35" s="82"/>
      <c r="H35" s="82"/>
      <c r="I35" s="81"/>
      <c r="J35" s="46"/>
      <c r="K35" s="46"/>
      <c r="L35" s="46"/>
      <c r="M35" s="46"/>
      <c r="N35" s="46"/>
      <c r="O35" s="46"/>
    </row>
    <row r="36" spans="1:15" ht="15" customHeight="1">
      <c r="A36" s="46"/>
      <c r="B36" s="23">
        <f t="shared" si="1"/>
        <v>13</v>
      </c>
      <c r="C36" s="26">
        <f t="shared" si="2"/>
        <v>0.6</v>
      </c>
      <c r="D36" s="24">
        <v>87.2</v>
      </c>
      <c r="E36" s="25">
        <f t="shared" si="0"/>
        <v>0.45817353055355509</v>
      </c>
      <c r="F36" s="58"/>
      <c r="G36" s="82"/>
      <c r="H36" s="82"/>
      <c r="I36" s="81"/>
      <c r="J36" s="46"/>
      <c r="K36" s="46"/>
      <c r="L36" s="46"/>
      <c r="M36" s="46"/>
      <c r="N36" s="46"/>
      <c r="O36" s="46"/>
    </row>
    <row r="37" spans="1:15" ht="15" customHeight="1">
      <c r="A37" s="46"/>
      <c r="B37" s="23">
        <f t="shared" si="1"/>
        <v>14</v>
      </c>
      <c r="C37" s="26">
        <f t="shared" si="2"/>
        <v>0.65</v>
      </c>
      <c r="D37" s="24">
        <v>88.9</v>
      </c>
      <c r="E37" s="25">
        <f t="shared" si="0"/>
        <v>0.5572242337259552</v>
      </c>
      <c r="F37" s="58"/>
      <c r="G37" s="82"/>
      <c r="H37" s="82"/>
      <c r="I37" s="81"/>
      <c r="J37" s="46"/>
      <c r="K37" s="46"/>
      <c r="L37" s="46"/>
      <c r="M37" s="46"/>
      <c r="N37" s="46"/>
      <c r="O37" s="46"/>
    </row>
    <row r="38" spans="1:15" ht="15" customHeight="1">
      <c r="A38" s="46"/>
      <c r="B38" s="23">
        <f t="shared" si="1"/>
        <v>15</v>
      </c>
      <c r="C38" s="26">
        <f t="shared" si="2"/>
        <v>0.70000000000000007</v>
      </c>
      <c r="D38" s="24">
        <v>90.2</v>
      </c>
      <c r="E38" s="25">
        <f t="shared" si="0"/>
        <v>0.64718731385925743</v>
      </c>
      <c r="F38" s="58"/>
      <c r="G38" s="82"/>
      <c r="H38" s="82"/>
      <c r="I38" s="81"/>
      <c r="J38" s="46"/>
      <c r="K38" s="46"/>
      <c r="L38" s="46"/>
      <c r="M38" s="46"/>
      <c r="N38" s="46"/>
      <c r="O38" s="46"/>
    </row>
    <row r="39" spans="1:15" ht="15" customHeight="1">
      <c r="A39" s="46"/>
      <c r="B39" s="23">
        <f t="shared" si="1"/>
        <v>16</v>
      </c>
      <c r="C39" s="26">
        <f t="shared" si="2"/>
        <v>0.75000000000000011</v>
      </c>
      <c r="D39" s="24">
        <v>91.3</v>
      </c>
      <c r="E39" s="25">
        <f t="shared" si="0"/>
        <v>0.7345646009961686</v>
      </c>
      <c r="F39" s="58"/>
      <c r="G39" s="82"/>
      <c r="H39" s="82"/>
      <c r="I39" s="81"/>
      <c r="J39" s="46"/>
      <c r="K39" s="46"/>
      <c r="L39" s="46"/>
      <c r="M39" s="46"/>
      <c r="N39" s="46"/>
      <c r="O39" s="46"/>
    </row>
    <row r="40" spans="1:15" ht="15" customHeight="1">
      <c r="A40" s="46"/>
      <c r="B40" s="23">
        <f t="shared" si="1"/>
        <v>17</v>
      </c>
      <c r="C40" s="26">
        <f t="shared" si="2"/>
        <v>0.80000000000000016</v>
      </c>
      <c r="D40" s="24">
        <v>93.2</v>
      </c>
      <c r="E40" s="25">
        <f t="shared" si="0"/>
        <v>0.9141763792297517</v>
      </c>
      <c r="F40" s="58"/>
      <c r="G40" s="82"/>
      <c r="H40" s="82"/>
      <c r="I40" s="81"/>
      <c r="J40" s="46"/>
      <c r="K40" s="46"/>
      <c r="L40" s="46"/>
      <c r="M40" s="46"/>
      <c r="N40" s="46"/>
      <c r="O40" s="46"/>
    </row>
    <row r="41" spans="1:15" ht="15" customHeight="1">
      <c r="A41" s="46"/>
      <c r="B41" s="23">
        <f t="shared" si="1"/>
        <v>18</v>
      </c>
      <c r="C41" s="26">
        <f t="shared" si="2"/>
        <v>0.8500000000000002</v>
      </c>
      <c r="D41" s="24">
        <v>95.2</v>
      </c>
      <c r="E41" s="25">
        <f t="shared" si="0"/>
        <v>1.1508798746743147</v>
      </c>
      <c r="F41" s="58"/>
      <c r="G41" s="82"/>
      <c r="H41" s="82"/>
      <c r="I41" s="81"/>
      <c r="J41" s="46"/>
      <c r="K41" s="46"/>
      <c r="L41" s="46"/>
      <c r="M41" s="46"/>
      <c r="N41" s="46"/>
      <c r="O41" s="46"/>
    </row>
    <row r="42" spans="1:15" ht="15" customHeight="1">
      <c r="A42" s="46"/>
      <c r="B42" s="23">
        <f t="shared" si="1"/>
        <v>19</v>
      </c>
      <c r="C42" s="26">
        <f t="shared" si="2"/>
        <v>0.90000000000000024</v>
      </c>
      <c r="D42" s="24">
        <v>98.1</v>
      </c>
      <c r="E42" s="25">
        <f t="shared" si="0"/>
        <v>1.6070522443712336</v>
      </c>
      <c r="F42" s="58"/>
      <c r="G42" s="79"/>
      <c r="H42" s="82"/>
      <c r="I42" s="83"/>
      <c r="J42" s="46"/>
      <c r="K42" s="46"/>
      <c r="L42" s="46"/>
      <c r="M42" s="46"/>
      <c r="N42" s="46"/>
      <c r="O42" s="46"/>
    </row>
    <row r="43" spans="1:15" ht="15" customHeight="1">
      <c r="A43" s="46"/>
      <c r="B43" s="23">
        <f t="shared" si="1"/>
        <v>20</v>
      </c>
      <c r="C43" s="26">
        <f t="shared" si="2"/>
        <v>0.95000000000000029</v>
      </c>
      <c r="D43" s="27">
        <v>100.4</v>
      </c>
      <c r="E43" s="25">
        <f t="shared" si="0"/>
        <v>2.0942570961018032</v>
      </c>
      <c r="F43" s="58"/>
      <c r="G43" s="82"/>
      <c r="H43" s="82"/>
      <c r="I43" s="81"/>
      <c r="J43" s="46"/>
      <c r="K43" s="46"/>
      <c r="L43" s="46"/>
      <c r="M43" s="46"/>
      <c r="N43" s="46"/>
      <c r="O43" s="46"/>
    </row>
    <row r="44" spans="1:15" ht="15" customHeight="1">
      <c r="A44" s="46"/>
      <c r="B44" s="23">
        <f t="shared" si="1"/>
        <v>21</v>
      </c>
      <c r="C44" s="26">
        <f t="shared" si="2"/>
        <v>1.0000000000000002</v>
      </c>
      <c r="D44" s="24">
        <v>103.2</v>
      </c>
      <c r="E44" s="25">
        <f t="shared" si="0"/>
        <v>2.8908795414918615</v>
      </c>
      <c r="F44" s="58"/>
      <c r="G44" s="82"/>
      <c r="H44" s="82"/>
      <c r="I44" s="81"/>
      <c r="J44" s="46"/>
      <c r="K44" s="46"/>
      <c r="L44" s="46"/>
      <c r="M44" s="46"/>
      <c r="N44" s="46"/>
      <c r="O44" s="46"/>
    </row>
    <row r="45" spans="1:15" ht="15" customHeight="1">
      <c r="A45" s="46"/>
      <c r="B45" s="23">
        <f t="shared" si="1"/>
        <v>22</v>
      </c>
      <c r="C45" s="26">
        <f t="shared" si="2"/>
        <v>1.0500000000000003</v>
      </c>
      <c r="D45" s="24">
        <v>106.4</v>
      </c>
      <c r="E45" s="25">
        <f t="shared" si="0"/>
        <v>4.1785922617080899</v>
      </c>
      <c r="F45" s="58"/>
      <c r="G45" s="84"/>
      <c r="H45" s="82"/>
      <c r="I45" s="81"/>
      <c r="J45" s="46"/>
      <c r="K45" s="46"/>
      <c r="L45" s="46"/>
      <c r="M45" s="46"/>
      <c r="N45" s="46"/>
      <c r="O45" s="46"/>
    </row>
    <row r="46" spans="1:15" ht="15" customHeight="1">
      <c r="A46" s="46"/>
      <c r="B46" s="23">
        <f t="shared" si="1"/>
        <v>23</v>
      </c>
      <c r="C46" s="26">
        <f t="shared" si="2"/>
        <v>1.1000000000000003</v>
      </c>
      <c r="D46" s="24">
        <v>106.2</v>
      </c>
      <c r="E46" s="25">
        <f t="shared" si="0"/>
        <v>4.0834758893390699</v>
      </c>
      <c r="F46" s="89"/>
      <c r="G46" s="84"/>
      <c r="H46" s="82"/>
      <c r="I46" s="81"/>
      <c r="J46" s="46"/>
      <c r="K46" s="46"/>
      <c r="L46" s="46"/>
      <c r="M46" s="46"/>
      <c r="N46" s="46"/>
      <c r="O46" s="46"/>
    </row>
    <row r="47" spans="1:15" ht="15" customHeight="1">
      <c r="A47" s="46"/>
      <c r="B47" s="23">
        <f t="shared" si="1"/>
        <v>24</v>
      </c>
      <c r="C47" s="26">
        <f t="shared" si="2"/>
        <v>1.1500000000000004</v>
      </c>
      <c r="D47" s="24">
        <v>105.7</v>
      </c>
      <c r="E47" s="25">
        <f t="shared" si="0"/>
        <v>3.8550498263818764</v>
      </c>
      <c r="F47" s="58"/>
      <c r="G47" s="84"/>
      <c r="H47" s="82"/>
      <c r="I47" s="81"/>
      <c r="J47" s="46"/>
      <c r="K47" s="46"/>
      <c r="L47" s="46"/>
      <c r="M47" s="46"/>
      <c r="N47" s="46"/>
      <c r="O47" s="46"/>
    </row>
    <row r="48" spans="1:15" ht="15" customHeight="1">
      <c r="A48" s="46"/>
      <c r="B48" s="23">
        <f t="shared" si="1"/>
        <v>25</v>
      </c>
      <c r="C48" s="26">
        <f t="shared" si="2"/>
        <v>1.2000000000000004</v>
      </c>
      <c r="D48" s="24">
        <v>108.2</v>
      </c>
      <c r="E48" s="25">
        <f t="shared" si="0"/>
        <v>5.1407915655377359</v>
      </c>
      <c r="F48" s="58"/>
      <c r="G48" s="84"/>
      <c r="H48" s="82"/>
      <c r="I48" s="81"/>
      <c r="J48" s="46"/>
      <c r="K48" s="46"/>
      <c r="L48" s="46"/>
      <c r="M48" s="46"/>
      <c r="N48" s="46"/>
      <c r="O48" s="46"/>
    </row>
    <row r="49" spans="1:15" ht="15" customHeight="1">
      <c r="A49" s="46"/>
      <c r="B49" s="23">
        <f t="shared" si="1"/>
        <v>26</v>
      </c>
      <c r="C49" s="26">
        <f t="shared" si="2"/>
        <v>1.2500000000000004</v>
      </c>
      <c r="D49" s="24">
        <v>108.6</v>
      </c>
      <c r="E49" s="25">
        <f t="shared" si="0"/>
        <v>5.3830696078538294</v>
      </c>
      <c r="F49" s="58"/>
      <c r="G49" s="84"/>
      <c r="H49" s="82"/>
      <c r="I49" s="85"/>
      <c r="J49" s="46"/>
      <c r="K49" s="46"/>
      <c r="L49" s="46"/>
      <c r="M49" s="46"/>
      <c r="N49" s="46"/>
      <c r="O49" s="46"/>
    </row>
    <row r="50" spans="1:15" ht="15" customHeight="1">
      <c r="A50" s="46"/>
      <c r="B50" s="23">
        <f t="shared" si="1"/>
        <v>27</v>
      </c>
      <c r="C50" s="26">
        <f t="shared" si="2"/>
        <v>1.3000000000000005</v>
      </c>
      <c r="D50" s="24">
        <v>108.2</v>
      </c>
      <c r="E50" s="25">
        <f t="shared" si="0"/>
        <v>5.1407915655377359</v>
      </c>
      <c r="F50" s="58"/>
      <c r="G50" s="84"/>
      <c r="H50" s="82"/>
      <c r="I50" s="85"/>
      <c r="J50" s="46"/>
      <c r="K50" s="46"/>
      <c r="L50" s="46"/>
      <c r="M50" s="46"/>
      <c r="N50" s="46"/>
      <c r="O50" s="46"/>
    </row>
    <row r="51" spans="1:15" ht="15" customHeight="1">
      <c r="A51" s="46"/>
      <c r="B51" s="23">
        <f t="shared" si="1"/>
        <v>28</v>
      </c>
      <c r="C51" s="26">
        <f t="shared" si="2"/>
        <v>1.3500000000000005</v>
      </c>
      <c r="D51" s="24">
        <v>107.5</v>
      </c>
      <c r="E51" s="25">
        <f t="shared" si="0"/>
        <v>4.7427474113233199</v>
      </c>
      <c r="F51" s="58"/>
      <c r="G51" s="84"/>
      <c r="H51" s="82"/>
      <c r="I51" s="86"/>
      <c r="J51" s="46"/>
      <c r="K51" s="46"/>
      <c r="L51" s="46"/>
      <c r="M51" s="46"/>
      <c r="N51" s="46"/>
      <c r="O51" s="46"/>
    </row>
    <row r="52" spans="1:15" ht="15" customHeight="1">
      <c r="A52" s="46"/>
      <c r="B52" s="23">
        <f t="shared" si="1"/>
        <v>29</v>
      </c>
      <c r="C52" s="26">
        <f t="shared" si="2"/>
        <v>1.4000000000000006</v>
      </c>
      <c r="D52" s="24">
        <v>107.2</v>
      </c>
      <c r="E52" s="25">
        <f t="shared" si="0"/>
        <v>4.5817353055355561</v>
      </c>
      <c r="F52" s="58"/>
      <c r="G52" s="84"/>
      <c r="H52" s="82"/>
      <c r="I52" s="86"/>
      <c r="J52" s="46"/>
      <c r="K52" s="46"/>
      <c r="L52" s="46"/>
      <c r="M52" s="46"/>
      <c r="N52" s="46"/>
      <c r="O52" s="46"/>
    </row>
    <row r="53" spans="1:15" ht="15" customHeight="1">
      <c r="A53" s="46"/>
      <c r="B53" s="23">
        <f t="shared" si="1"/>
        <v>30</v>
      </c>
      <c r="C53" s="26">
        <f t="shared" si="2"/>
        <v>1.4500000000000006</v>
      </c>
      <c r="D53" s="24">
        <v>108.8</v>
      </c>
      <c r="E53" s="25">
        <f t="shared" si="0"/>
        <v>5.5084574066763308</v>
      </c>
      <c r="F53" s="58"/>
      <c r="G53" s="84"/>
      <c r="H53" s="82"/>
      <c r="I53" s="86"/>
      <c r="J53" s="46"/>
      <c r="K53" s="46"/>
      <c r="L53" s="46"/>
      <c r="M53" s="46"/>
      <c r="N53" s="46"/>
      <c r="O53" s="46"/>
    </row>
    <row r="54" spans="1:15" ht="15" customHeight="1">
      <c r="A54" s="46"/>
      <c r="B54" s="23">
        <f t="shared" si="1"/>
        <v>31</v>
      </c>
      <c r="C54" s="26">
        <f t="shared" si="2"/>
        <v>1.5000000000000007</v>
      </c>
      <c r="D54" s="24">
        <v>108.9</v>
      </c>
      <c r="E54" s="25">
        <f t="shared" si="0"/>
        <v>5.5722423372595484</v>
      </c>
      <c r="F54" s="58"/>
      <c r="G54" s="84"/>
      <c r="H54" s="82"/>
      <c r="I54" s="85"/>
      <c r="J54" s="46"/>
      <c r="K54" s="46"/>
      <c r="L54" s="46"/>
      <c r="M54" s="46"/>
      <c r="N54" s="46"/>
      <c r="O54" s="46"/>
    </row>
    <row r="55" spans="1:15" ht="15" customHeight="1">
      <c r="A55" s="46"/>
      <c r="B55" s="23">
        <f t="shared" si="1"/>
        <v>32</v>
      </c>
      <c r="C55" s="26">
        <f t="shared" si="2"/>
        <v>1.5500000000000007</v>
      </c>
      <c r="D55" s="24">
        <v>107.3</v>
      </c>
      <c r="E55" s="25">
        <f t="shared" si="0"/>
        <v>4.6347892999369673</v>
      </c>
      <c r="F55" s="58"/>
      <c r="G55" s="84"/>
      <c r="H55" s="82"/>
      <c r="I55" s="85"/>
      <c r="J55" s="46"/>
      <c r="K55" s="46"/>
      <c r="L55" s="46"/>
      <c r="M55" s="46"/>
      <c r="N55" s="46"/>
      <c r="O55" s="46"/>
    </row>
    <row r="56" spans="1:15" ht="15" customHeight="1">
      <c r="A56" s="46"/>
      <c r="B56" s="23">
        <f t="shared" si="1"/>
        <v>33</v>
      </c>
      <c r="C56" s="26">
        <f t="shared" si="2"/>
        <v>1.6000000000000008</v>
      </c>
      <c r="D56" s="24">
        <v>106.2</v>
      </c>
      <c r="E56" s="25">
        <f t="shared" si="0"/>
        <v>4.0834758893390699</v>
      </c>
      <c r="F56" s="58"/>
      <c r="G56" s="79"/>
      <c r="H56" s="82"/>
      <c r="I56" s="85"/>
      <c r="J56" s="46"/>
      <c r="K56" s="46"/>
      <c r="L56" s="46"/>
      <c r="M56" s="46"/>
      <c r="N56" s="46"/>
      <c r="O56" s="46"/>
    </row>
    <row r="57" spans="1:15" ht="15" customHeight="1">
      <c r="A57" s="46"/>
      <c r="B57" s="23">
        <f t="shared" si="1"/>
        <v>34</v>
      </c>
      <c r="C57" s="26">
        <f t="shared" si="2"/>
        <v>1.6500000000000008</v>
      </c>
      <c r="D57" s="24">
        <v>108.3</v>
      </c>
      <c r="E57" s="25">
        <f t="shared" si="0"/>
        <v>5.2003191263305526</v>
      </c>
      <c r="F57" s="58"/>
      <c r="G57" s="82"/>
      <c r="H57" s="82"/>
      <c r="I57" s="85"/>
      <c r="J57" s="46"/>
      <c r="K57" s="46"/>
      <c r="L57" s="46"/>
      <c r="M57" s="46"/>
      <c r="N57" s="46"/>
      <c r="O57" s="46"/>
    </row>
    <row r="58" spans="1:15" ht="15" customHeight="1">
      <c r="A58" s="46"/>
      <c r="B58" s="23">
        <f t="shared" si="1"/>
        <v>35</v>
      </c>
      <c r="C58" s="26">
        <f t="shared" si="2"/>
        <v>1.7000000000000008</v>
      </c>
      <c r="D58" s="24">
        <v>109.9</v>
      </c>
      <c r="E58" s="25">
        <f t="shared" si="0"/>
        <v>6.2521587342479155</v>
      </c>
      <c r="F58" s="58"/>
      <c r="G58" s="82"/>
      <c r="H58" s="82"/>
      <c r="I58" s="85"/>
      <c r="J58" s="46"/>
      <c r="K58" s="46"/>
      <c r="L58" s="46"/>
      <c r="M58" s="46"/>
      <c r="N58" s="46"/>
      <c r="O58" s="46"/>
    </row>
    <row r="59" spans="1:15" ht="15" customHeight="1">
      <c r="A59" s="46"/>
      <c r="B59" s="23">
        <f t="shared" si="1"/>
        <v>36</v>
      </c>
      <c r="C59" s="26">
        <f t="shared" si="2"/>
        <v>1.7500000000000009</v>
      </c>
      <c r="D59" s="24">
        <v>108.3</v>
      </c>
      <c r="E59" s="25">
        <f t="shared" si="0"/>
        <v>5.2003191263305526</v>
      </c>
      <c r="F59" s="58"/>
      <c r="G59" s="79"/>
      <c r="H59" s="82"/>
      <c r="I59" s="85"/>
      <c r="J59" s="46"/>
      <c r="K59" s="46"/>
      <c r="L59" s="46"/>
      <c r="M59" s="46"/>
      <c r="N59" s="46"/>
      <c r="O59" s="46"/>
    </row>
    <row r="60" spans="1:15" ht="15" customHeight="1">
      <c r="A60" s="46"/>
      <c r="B60" s="23">
        <f t="shared" si="1"/>
        <v>37</v>
      </c>
      <c r="C60" s="26">
        <f t="shared" si="2"/>
        <v>1.8000000000000009</v>
      </c>
      <c r="D60" s="24">
        <v>106.8</v>
      </c>
      <c r="E60" s="25">
        <f t="shared" si="0"/>
        <v>4.3755232478991077</v>
      </c>
      <c r="F60" s="58"/>
      <c r="G60" s="87"/>
      <c r="H60" s="82"/>
      <c r="I60" s="85"/>
      <c r="J60" s="46"/>
      <c r="K60" s="46"/>
      <c r="L60" s="46"/>
      <c r="M60" s="46"/>
      <c r="N60" s="46"/>
      <c r="O60" s="46"/>
    </row>
    <row r="61" spans="1:15" ht="15" customHeight="1">
      <c r="A61" s="46"/>
      <c r="B61" s="23">
        <f t="shared" si="1"/>
        <v>38</v>
      </c>
      <c r="C61" s="26">
        <f t="shared" si="2"/>
        <v>1.850000000000001</v>
      </c>
      <c r="D61" s="24">
        <v>107.5</v>
      </c>
      <c r="E61" s="25">
        <f t="shared" si="0"/>
        <v>4.7427474113233199</v>
      </c>
      <c r="F61" s="58"/>
      <c r="G61" s="84"/>
      <c r="H61" s="82"/>
      <c r="I61" s="85"/>
      <c r="J61" s="46"/>
      <c r="K61" s="46"/>
      <c r="L61" s="46"/>
      <c r="M61" s="46"/>
      <c r="N61" s="46"/>
      <c r="O61" s="46"/>
    </row>
    <row r="62" spans="1:15" ht="15" customHeight="1">
      <c r="A62" s="46"/>
      <c r="B62" s="23">
        <f t="shared" si="1"/>
        <v>39</v>
      </c>
      <c r="C62" s="26">
        <f t="shared" si="2"/>
        <v>1.900000000000001</v>
      </c>
      <c r="D62" s="27">
        <v>108.7</v>
      </c>
      <c r="E62" s="25">
        <f t="shared" si="0"/>
        <v>5.4454026161558415</v>
      </c>
      <c r="F62" s="58"/>
      <c r="G62" s="82"/>
      <c r="H62" s="82"/>
      <c r="I62" s="85"/>
      <c r="J62" s="46"/>
      <c r="K62" s="46"/>
      <c r="L62" s="46"/>
      <c r="M62" s="46"/>
      <c r="N62" s="46"/>
      <c r="O62" s="46"/>
    </row>
    <row r="63" spans="1:15" ht="15" customHeight="1">
      <c r="A63" s="46"/>
      <c r="B63" s="23">
        <f t="shared" si="1"/>
        <v>40</v>
      </c>
      <c r="C63" s="26">
        <f t="shared" si="2"/>
        <v>1.9500000000000011</v>
      </c>
      <c r="D63" s="24">
        <v>107.5</v>
      </c>
      <c r="E63" s="25">
        <f t="shared" si="0"/>
        <v>4.7427474113233199</v>
      </c>
      <c r="F63" s="58"/>
      <c r="G63" s="82"/>
      <c r="H63" s="82"/>
      <c r="I63" s="85"/>
      <c r="J63" s="46"/>
      <c r="K63" s="46"/>
      <c r="L63" s="46"/>
      <c r="M63" s="46"/>
      <c r="N63" s="46"/>
      <c r="O63" s="46"/>
    </row>
    <row r="64" spans="1:15" ht="15" customHeight="1">
      <c r="A64" s="46"/>
      <c r="B64" s="23">
        <f t="shared" si="1"/>
        <v>41</v>
      </c>
      <c r="C64" s="26">
        <f t="shared" si="2"/>
        <v>2.0000000000000009</v>
      </c>
      <c r="D64" s="24">
        <v>107.2</v>
      </c>
      <c r="E64" s="25">
        <f t="shared" si="0"/>
        <v>4.5817353055355561</v>
      </c>
      <c r="F64" s="58"/>
      <c r="G64" s="79"/>
      <c r="H64" s="82"/>
      <c r="I64" s="76"/>
      <c r="J64" s="46"/>
      <c r="K64" s="46"/>
      <c r="L64" s="46"/>
      <c r="M64" s="46"/>
      <c r="N64" s="46"/>
      <c r="O64" s="46"/>
    </row>
    <row r="65" spans="1:15" ht="15" customHeight="1">
      <c r="A65" s="46"/>
      <c r="B65" s="23">
        <f t="shared" si="1"/>
        <v>42</v>
      </c>
      <c r="C65" s="26">
        <f t="shared" si="2"/>
        <v>2.0500000000000007</v>
      </c>
      <c r="D65" s="24">
        <v>108.7</v>
      </c>
      <c r="E65" s="25">
        <f t="shared" si="0"/>
        <v>5.4454026161558415</v>
      </c>
      <c r="F65" s="58"/>
      <c r="G65" s="79"/>
      <c r="H65" s="82"/>
      <c r="I65" s="76"/>
      <c r="J65" s="46"/>
      <c r="K65" s="46"/>
      <c r="L65" s="46"/>
      <c r="M65" s="46"/>
      <c r="N65" s="46"/>
      <c r="O65" s="46"/>
    </row>
    <row r="66" spans="1:15" ht="15" customHeight="1">
      <c r="A66" s="46"/>
      <c r="B66" s="23">
        <f t="shared" si="1"/>
        <v>43</v>
      </c>
      <c r="C66" s="26">
        <f t="shared" si="2"/>
        <v>2.1000000000000005</v>
      </c>
      <c r="D66" s="24">
        <v>110.4</v>
      </c>
      <c r="E66" s="25">
        <f t="shared" si="0"/>
        <v>6.6226224296518375</v>
      </c>
      <c r="F66" s="58"/>
      <c r="G66" s="79"/>
      <c r="H66" s="82"/>
      <c r="I66" s="76" t="s">
        <v>190</v>
      </c>
      <c r="J66" s="46"/>
      <c r="K66" s="46"/>
      <c r="L66" s="46"/>
      <c r="M66" s="46"/>
      <c r="N66" s="46"/>
      <c r="O66" s="46"/>
    </row>
    <row r="67" spans="1:15" ht="15" customHeight="1">
      <c r="A67" s="46"/>
      <c r="B67" s="23">
        <f t="shared" si="1"/>
        <v>44</v>
      </c>
      <c r="C67" s="26">
        <f t="shared" si="2"/>
        <v>2.1500000000000004</v>
      </c>
      <c r="D67" s="24">
        <v>110.2</v>
      </c>
      <c r="E67" s="25">
        <f t="shared" si="0"/>
        <v>6.4718731385925699</v>
      </c>
      <c r="F67" s="58"/>
      <c r="G67" s="79"/>
      <c r="H67" s="82"/>
      <c r="I67" s="76"/>
      <c r="J67" s="46"/>
      <c r="K67" s="46"/>
      <c r="L67" s="46"/>
      <c r="M67" s="46"/>
      <c r="N67" s="46"/>
      <c r="O67" s="46"/>
    </row>
    <row r="68" spans="1:15" ht="15" customHeight="1">
      <c r="A68" s="46"/>
      <c r="B68" s="23">
        <f t="shared" si="1"/>
        <v>45</v>
      </c>
      <c r="C68" s="26">
        <f t="shared" si="2"/>
        <v>2.2000000000000002</v>
      </c>
      <c r="D68" s="24">
        <v>109.3</v>
      </c>
      <c r="E68" s="25">
        <f t="shared" si="0"/>
        <v>5.8348540280023409</v>
      </c>
      <c r="F68" s="58"/>
      <c r="G68" s="79"/>
      <c r="H68" s="82"/>
      <c r="I68" s="76"/>
      <c r="J68" s="46"/>
      <c r="K68" s="46"/>
      <c r="L68" s="46"/>
      <c r="M68" s="46"/>
      <c r="N68" s="46"/>
      <c r="O68" s="46"/>
    </row>
    <row r="69" spans="1:15" ht="15" customHeight="1">
      <c r="A69" s="46"/>
      <c r="B69" s="23">
        <f t="shared" si="1"/>
        <v>46</v>
      </c>
      <c r="C69" s="26">
        <f t="shared" si="2"/>
        <v>2.25</v>
      </c>
      <c r="D69" s="24">
        <v>107.4</v>
      </c>
      <c r="E69" s="25">
        <f t="shared" si="0"/>
        <v>4.6884576306398538</v>
      </c>
      <c r="F69" s="58"/>
      <c r="G69" s="79"/>
      <c r="H69" s="82"/>
      <c r="I69" s="76"/>
      <c r="J69" s="46"/>
      <c r="K69" s="46"/>
      <c r="L69" s="46"/>
      <c r="M69" s="46"/>
      <c r="N69" s="46"/>
      <c r="O69" s="46"/>
    </row>
    <row r="70" spans="1:15" ht="15" customHeight="1">
      <c r="A70" s="46"/>
      <c r="B70" s="23">
        <f t="shared" si="1"/>
        <v>47</v>
      </c>
      <c r="C70" s="26">
        <f t="shared" si="2"/>
        <v>2.2999999999999998</v>
      </c>
      <c r="D70" s="24">
        <v>107.2</v>
      </c>
      <c r="E70" s="25">
        <f t="shared" si="0"/>
        <v>4.5817353055355561</v>
      </c>
      <c r="F70" s="58"/>
      <c r="G70" s="79"/>
      <c r="H70" s="82"/>
      <c r="I70" s="76"/>
      <c r="J70" s="46"/>
      <c r="K70" s="46"/>
      <c r="L70" s="46"/>
      <c r="M70" s="46"/>
      <c r="N70" s="46"/>
      <c r="O70" s="46"/>
    </row>
    <row r="71" spans="1:15" ht="15" customHeight="1">
      <c r="A71" s="46"/>
      <c r="B71" s="23">
        <f t="shared" si="1"/>
        <v>48</v>
      </c>
      <c r="C71" s="26">
        <f t="shared" si="2"/>
        <v>2.3499999999999996</v>
      </c>
      <c r="D71" s="24">
        <v>104.2</v>
      </c>
      <c r="E71" s="25">
        <f t="shared" si="0"/>
        <v>3.2436201947178658</v>
      </c>
      <c r="F71" s="58"/>
      <c r="G71" s="79"/>
      <c r="H71" s="82"/>
      <c r="I71" s="76"/>
      <c r="J71" s="46"/>
      <c r="K71" s="46"/>
      <c r="L71" s="46"/>
      <c r="M71" s="46"/>
      <c r="N71" s="46"/>
      <c r="O71" s="46"/>
    </row>
    <row r="72" spans="1:15" ht="15" customHeight="1">
      <c r="A72" s="46"/>
      <c r="B72" s="23">
        <f t="shared" si="1"/>
        <v>49</v>
      </c>
      <c r="C72" s="26">
        <f t="shared" si="2"/>
        <v>2.3999999999999995</v>
      </c>
      <c r="D72" s="24">
        <v>100.5</v>
      </c>
      <c r="E72" s="25">
        <f t="shared" si="0"/>
        <v>2.1185074503545818</v>
      </c>
      <c r="F72" s="58"/>
      <c r="G72" s="46"/>
      <c r="H72" s="46"/>
      <c r="I72" s="46"/>
      <c r="J72" s="46"/>
      <c r="K72" s="46"/>
      <c r="L72" s="46"/>
      <c r="M72" s="46"/>
      <c r="N72" s="46"/>
      <c r="O72" s="46"/>
    </row>
    <row r="73" spans="1:15" ht="15" customHeight="1">
      <c r="A73" s="46"/>
      <c r="B73" s="23">
        <f t="shared" si="1"/>
        <v>50</v>
      </c>
      <c r="C73" s="26">
        <f t="shared" si="2"/>
        <v>2.4499999999999993</v>
      </c>
      <c r="D73" s="24">
        <v>100.3</v>
      </c>
      <c r="E73" s="25">
        <f t="shared" si="0"/>
        <v>2.0702843333586882</v>
      </c>
      <c r="F73" s="58"/>
      <c r="G73" s="46"/>
      <c r="H73" s="46"/>
      <c r="I73" s="46"/>
      <c r="J73" s="46"/>
      <c r="K73" s="46"/>
      <c r="L73" s="46"/>
      <c r="M73" s="46"/>
      <c r="N73" s="46"/>
      <c r="O73" s="46"/>
    </row>
    <row r="74" spans="1:15" ht="15" customHeight="1">
      <c r="A74" s="46"/>
      <c r="B74" s="23">
        <f t="shared" si="1"/>
        <v>51</v>
      </c>
      <c r="C74" s="26">
        <f t="shared" si="2"/>
        <v>2.4999999999999991</v>
      </c>
      <c r="D74" s="24">
        <v>99.1</v>
      </c>
      <c r="E74" s="25">
        <f t="shared" si="0"/>
        <v>1.8031422752119151</v>
      </c>
      <c r="F74" s="58"/>
      <c r="G74" s="46"/>
      <c r="H74" s="46"/>
      <c r="I74" s="46"/>
      <c r="J74" s="46"/>
      <c r="K74" s="46"/>
      <c r="L74" s="46"/>
      <c r="M74" s="46"/>
      <c r="N74" s="46"/>
      <c r="O74" s="46"/>
    </row>
    <row r="75" spans="1:15" ht="15" customHeight="1">
      <c r="A75" s="46"/>
      <c r="B75" s="23">
        <f t="shared" si="1"/>
        <v>52</v>
      </c>
      <c r="C75" s="26">
        <f t="shared" si="2"/>
        <v>2.5499999999999989</v>
      </c>
      <c r="D75" s="24">
        <v>97.2</v>
      </c>
      <c r="E75" s="25">
        <f t="shared" si="0"/>
        <v>1.4488719201499825</v>
      </c>
      <c r="F75" s="58"/>
      <c r="G75" s="46"/>
      <c r="H75" s="46"/>
      <c r="I75" s="46"/>
      <c r="J75" s="46"/>
      <c r="K75" s="46"/>
      <c r="L75" s="46"/>
      <c r="M75" s="46"/>
      <c r="N75" s="46"/>
      <c r="O75" s="46"/>
    </row>
    <row r="76" spans="1:15" ht="15" customHeight="1">
      <c r="A76" s="46"/>
      <c r="B76" s="23">
        <f t="shared" si="1"/>
        <v>53</v>
      </c>
      <c r="C76" s="26">
        <f t="shared" si="2"/>
        <v>2.5999999999999988</v>
      </c>
      <c r="D76" s="24">
        <v>96.4</v>
      </c>
      <c r="E76" s="25">
        <f t="shared" si="0"/>
        <v>1.3213868960151947</v>
      </c>
      <c r="F76" s="58"/>
      <c r="G76" s="46"/>
      <c r="H76" s="46"/>
      <c r="I76" s="46"/>
      <c r="J76" s="46"/>
      <c r="K76" s="46"/>
      <c r="L76" s="46"/>
      <c r="M76" s="46"/>
      <c r="N76" s="46"/>
      <c r="O76" s="46"/>
    </row>
    <row r="77" spans="1:15" ht="15" customHeight="1">
      <c r="A77" s="46"/>
      <c r="B77" s="23">
        <f t="shared" si="1"/>
        <v>54</v>
      </c>
      <c r="C77" s="26">
        <f t="shared" si="2"/>
        <v>2.6499999999999986</v>
      </c>
      <c r="D77" s="24">
        <v>95.3</v>
      </c>
      <c r="E77" s="25">
        <f t="shared" si="0"/>
        <v>1.1642064355417436</v>
      </c>
      <c r="F77" s="58"/>
      <c r="G77" s="46"/>
      <c r="H77" s="46"/>
      <c r="I77" s="46"/>
      <c r="J77" s="46"/>
      <c r="K77" s="46"/>
      <c r="L77" s="46"/>
      <c r="M77" s="46"/>
      <c r="N77" s="46"/>
      <c r="O77" s="46"/>
    </row>
    <row r="78" spans="1:15" ht="15" customHeight="1">
      <c r="A78" s="46"/>
      <c r="B78" s="23">
        <f t="shared" si="1"/>
        <v>55</v>
      </c>
      <c r="C78" s="26">
        <f t="shared" si="2"/>
        <v>2.6999999999999984</v>
      </c>
      <c r="D78" s="24">
        <v>92.6</v>
      </c>
      <c r="E78" s="25">
        <f t="shared" si="0"/>
        <v>0.85315903760318546</v>
      </c>
      <c r="F78" s="58"/>
      <c r="G78" s="46"/>
      <c r="H78" s="46"/>
      <c r="I78" s="46"/>
      <c r="J78" s="46"/>
      <c r="K78" s="46"/>
      <c r="L78" s="46"/>
      <c r="M78" s="46"/>
      <c r="N78" s="46"/>
      <c r="O78" s="46"/>
    </row>
    <row r="79" spans="1:15" ht="15" customHeight="1">
      <c r="A79" s="46"/>
      <c r="B79" s="23">
        <f t="shared" si="1"/>
        <v>56</v>
      </c>
      <c r="C79" s="26">
        <f t="shared" si="2"/>
        <v>2.7499999999999982</v>
      </c>
      <c r="D79" s="24">
        <v>92.3</v>
      </c>
      <c r="E79" s="25">
        <f t="shared" si="0"/>
        <v>0.82419503819466222</v>
      </c>
      <c r="F79" s="58"/>
      <c r="G79" s="46"/>
      <c r="H79" s="46"/>
      <c r="I79" s="46"/>
      <c r="J79" s="46"/>
      <c r="K79" s="46"/>
      <c r="L79" s="46"/>
      <c r="M79" s="46"/>
      <c r="N79" s="46"/>
      <c r="O79" s="46"/>
    </row>
    <row r="80" spans="1:15" ht="15" customHeight="1">
      <c r="A80" s="46"/>
      <c r="B80" s="23">
        <f t="shared" si="1"/>
        <v>57</v>
      </c>
      <c r="C80" s="26">
        <f t="shared" si="2"/>
        <v>2.799999999999998</v>
      </c>
      <c r="D80" s="24">
        <v>91.2</v>
      </c>
      <c r="E80" s="25">
        <f t="shared" si="0"/>
        <v>0.72615610954020471</v>
      </c>
      <c r="F80" s="58"/>
      <c r="G80" s="46"/>
      <c r="H80" s="46"/>
      <c r="I80" s="46"/>
      <c r="J80" s="46"/>
      <c r="K80" s="46"/>
      <c r="L80" s="46"/>
      <c r="M80" s="46"/>
      <c r="N80" s="46"/>
      <c r="O80" s="46"/>
    </row>
    <row r="81" spans="1:15" ht="15" customHeight="1">
      <c r="A81" s="46"/>
      <c r="B81" s="23">
        <f t="shared" si="1"/>
        <v>58</v>
      </c>
      <c r="C81" s="26">
        <f t="shared" si="2"/>
        <v>2.8499999999999979</v>
      </c>
      <c r="D81" s="24">
        <v>90.7</v>
      </c>
      <c r="E81" s="25">
        <f t="shared" si="0"/>
        <v>0.68553557309290147</v>
      </c>
      <c r="F81" s="58"/>
      <c r="G81" s="46"/>
      <c r="H81" s="46"/>
      <c r="I81" s="46"/>
      <c r="J81" s="46"/>
      <c r="K81" s="46"/>
      <c r="L81" s="46"/>
      <c r="M81" s="46"/>
      <c r="N81" s="46"/>
      <c r="O81" s="46"/>
    </row>
    <row r="82" spans="1:15" ht="15" customHeight="1">
      <c r="A82" s="46"/>
      <c r="B82" s="23">
        <f t="shared" si="1"/>
        <v>59</v>
      </c>
      <c r="C82" s="26">
        <f t="shared" si="2"/>
        <v>2.8999999999999977</v>
      </c>
      <c r="D82" s="24">
        <v>89.7</v>
      </c>
      <c r="E82" s="25">
        <f t="shared" si="0"/>
        <v>0.61098422264310359</v>
      </c>
      <c r="F82" s="58"/>
      <c r="G82" s="46"/>
      <c r="H82" s="46"/>
      <c r="I82" s="46"/>
      <c r="J82" s="46"/>
      <c r="K82" s="46"/>
      <c r="L82" s="46"/>
      <c r="M82" s="46"/>
      <c r="N82" s="46"/>
      <c r="O82" s="46"/>
    </row>
    <row r="83" spans="1:15">
      <c r="A83" s="46"/>
      <c r="B83" s="46"/>
      <c r="C83" s="46"/>
      <c r="D83" s="46"/>
      <c r="E83" s="46"/>
      <c r="F83" s="46"/>
      <c r="G83" s="46"/>
      <c r="H83" s="88"/>
      <c r="I83" s="11"/>
      <c r="J83" s="46"/>
      <c r="K83" s="46"/>
      <c r="L83" s="46"/>
      <c r="M83" s="46"/>
      <c r="N83" s="46"/>
      <c r="O83" s="46"/>
    </row>
    <row r="84" spans="1:15">
      <c r="A84" s="46"/>
      <c r="H84" s="4"/>
      <c r="I84" s="45"/>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192"/>
  <sheetViews>
    <sheetView topLeftCell="A63" zoomScale="110" zoomScaleNormal="110" workbookViewId="0">
      <selection activeCell="E77" sqref="E77"/>
    </sheetView>
  </sheetViews>
  <sheetFormatPr defaultRowHeight="14.5"/>
  <cols>
    <col min="2" max="2" width="12.7265625" customWidth="1"/>
    <col min="3" max="3" width="10.453125" customWidth="1"/>
    <col min="4" max="4" width="11.7265625" customWidth="1"/>
    <col min="5" max="5" width="11" customWidth="1"/>
    <col min="6" max="6" width="14.1796875" customWidth="1"/>
    <col min="7" max="7" width="15.453125" customWidth="1"/>
    <col min="8" max="8" width="10.453125" customWidth="1"/>
    <col min="9" max="9" width="15" customWidth="1"/>
    <col min="10" max="10" width="9.6328125" customWidth="1"/>
    <col min="11" max="11" width="12.26953125" customWidth="1"/>
    <col min="12" max="12" width="12.7265625" customWidth="1"/>
    <col min="13" max="13" width="10.453125" customWidth="1"/>
    <col min="14" max="14" width="13" customWidth="1"/>
    <col min="15" max="15" width="11" customWidth="1"/>
    <col min="16" max="16" width="14.1796875" customWidth="1"/>
    <col min="17" max="17" width="12.7265625" customWidth="1"/>
    <col min="18" max="18" width="12.453125" customWidth="1"/>
    <col min="19" max="19" width="11.7265625" customWidth="1"/>
    <col min="20" max="20" width="11" customWidth="1"/>
    <col min="21" max="21" width="14.1796875" customWidth="1"/>
  </cols>
  <sheetData>
    <row r="1" spans="1:22" s="40" customFormat="1">
      <c r="A1" s="46"/>
      <c r="B1" s="46"/>
      <c r="C1" s="46"/>
      <c r="D1" s="46"/>
      <c r="E1" s="46"/>
      <c r="F1" s="46"/>
      <c r="G1" s="46"/>
      <c r="H1" s="46"/>
      <c r="I1" s="46"/>
      <c r="J1" s="46"/>
      <c r="K1" s="46"/>
      <c r="L1" s="46"/>
      <c r="M1" s="46"/>
      <c r="N1" s="46"/>
      <c r="O1" s="46"/>
      <c r="P1" s="46"/>
      <c r="Q1" s="46"/>
      <c r="R1" s="46"/>
      <c r="S1" s="46"/>
      <c r="T1" s="46"/>
      <c r="U1" s="46"/>
      <c r="V1" s="46"/>
    </row>
    <row r="2" spans="1:22" s="40" customFormat="1">
      <c r="A2" s="46"/>
      <c r="B2" s="7"/>
      <c r="C2" s="8"/>
      <c r="D2" s="8"/>
      <c r="E2" s="8"/>
      <c r="F2" s="8"/>
      <c r="G2" s="8"/>
      <c r="H2" s="8"/>
      <c r="I2" s="8"/>
      <c r="J2" s="8"/>
      <c r="K2" s="8"/>
      <c r="L2" s="8"/>
      <c r="M2" s="8"/>
      <c r="N2" s="8"/>
      <c r="O2" s="8"/>
      <c r="P2" s="8"/>
      <c r="Q2" s="8"/>
      <c r="R2" s="8"/>
      <c r="S2" s="8"/>
      <c r="T2" s="8"/>
      <c r="U2" s="9"/>
      <c r="V2" s="46"/>
    </row>
    <row r="3" spans="1:22" s="40" customFormat="1">
      <c r="A3" s="46"/>
      <c r="B3" s="10"/>
      <c r="C3" s="11"/>
      <c r="D3" s="11"/>
      <c r="E3" s="11"/>
      <c r="F3" s="11"/>
      <c r="G3" s="11"/>
      <c r="H3" s="11" t="s">
        <v>2</v>
      </c>
      <c r="I3" s="11"/>
      <c r="J3" s="11"/>
      <c r="K3" s="11"/>
      <c r="L3" s="11"/>
      <c r="M3" s="11"/>
      <c r="N3" s="11"/>
      <c r="O3" s="11"/>
      <c r="P3" s="11"/>
      <c r="Q3" s="11"/>
      <c r="R3" s="11"/>
      <c r="S3" s="11"/>
      <c r="T3" s="11"/>
      <c r="U3" s="12"/>
      <c r="V3" s="46"/>
    </row>
    <row r="4" spans="1:22" s="40" customFormat="1">
      <c r="A4" s="46"/>
      <c r="B4" s="10"/>
      <c r="C4" s="11"/>
      <c r="D4" s="11"/>
      <c r="E4" s="11"/>
      <c r="F4" s="11"/>
      <c r="G4" s="11"/>
      <c r="H4" s="11" t="s">
        <v>4</v>
      </c>
      <c r="I4" s="11"/>
      <c r="J4" s="11"/>
      <c r="K4" s="11"/>
      <c r="L4" s="11"/>
      <c r="M4" s="11"/>
      <c r="N4" s="11"/>
      <c r="O4" s="11"/>
      <c r="P4" s="11"/>
      <c r="Q4" s="11"/>
      <c r="R4" s="11"/>
      <c r="S4" s="11"/>
      <c r="T4" s="11"/>
      <c r="U4" s="12"/>
      <c r="V4" s="46"/>
    </row>
    <row r="5" spans="1:22" s="40" customFormat="1">
      <c r="A5" s="46"/>
      <c r="B5" s="10"/>
      <c r="C5" s="11"/>
      <c r="D5" s="11"/>
      <c r="E5" s="11"/>
      <c r="F5" s="11"/>
      <c r="G5" s="11"/>
      <c r="H5" s="11"/>
      <c r="I5" s="11"/>
      <c r="J5" s="11"/>
      <c r="K5" s="11"/>
      <c r="L5" s="11"/>
      <c r="M5" s="11"/>
      <c r="N5" s="11"/>
      <c r="O5" s="11"/>
      <c r="P5" s="11"/>
      <c r="Q5" s="11"/>
      <c r="R5" s="11"/>
      <c r="S5" s="11"/>
      <c r="T5" s="11"/>
      <c r="U5" s="12"/>
      <c r="V5" s="46"/>
    </row>
    <row r="6" spans="1:22" s="40" customFormat="1">
      <c r="A6" s="46"/>
      <c r="B6" s="10"/>
      <c r="C6" s="11"/>
      <c r="D6" s="11"/>
      <c r="E6" s="11"/>
      <c r="F6" s="11"/>
      <c r="G6" s="11"/>
      <c r="H6" s="11"/>
      <c r="I6" s="11"/>
      <c r="J6" s="11"/>
      <c r="K6" s="11"/>
      <c r="L6" s="11"/>
      <c r="M6" s="11"/>
      <c r="N6" s="11"/>
      <c r="O6" s="11"/>
      <c r="P6" s="11"/>
      <c r="Q6" s="11"/>
      <c r="R6" s="11"/>
      <c r="S6" s="11"/>
      <c r="T6" s="11"/>
      <c r="U6" s="12"/>
      <c r="V6" s="46"/>
    </row>
    <row r="7" spans="1:22" s="40" customFormat="1">
      <c r="A7" s="46"/>
      <c r="B7" s="10"/>
      <c r="C7" s="13" t="s">
        <v>0</v>
      </c>
      <c r="D7" s="11"/>
      <c r="E7" s="11"/>
      <c r="F7" s="11"/>
      <c r="G7" s="46"/>
      <c r="H7" s="46"/>
      <c r="I7" s="733" t="s">
        <v>559</v>
      </c>
      <c r="J7" s="152"/>
      <c r="K7" s="153" t="s">
        <v>897</v>
      </c>
      <c r="L7" s="11"/>
      <c r="M7" s="11"/>
      <c r="N7" s="11"/>
      <c r="O7" s="11"/>
      <c r="P7" s="11"/>
      <c r="Q7" s="14" t="s">
        <v>5</v>
      </c>
      <c r="R7" s="15">
        <f>'Program Overview'!K6</f>
        <v>7</v>
      </c>
      <c r="S7" s="16">
        <f>'Program Overview'!M6</f>
        <v>43752</v>
      </c>
      <c r="T7" s="11"/>
      <c r="U7" s="12"/>
      <c r="V7" s="46"/>
    </row>
    <row r="8" spans="1:22" s="40" customFormat="1">
      <c r="A8" s="46"/>
      <c r="B8" s="10"/>
      <c r="C8" s="13" t="s">
        <v>1</v>
      </c>
      <c r="D8" s="11"/>
      <c r="E8" s="11"/>
      <c r="F8" s="11"/>
      <c r="G8" s="11"/>
      <c r="H8" s="11"/>
      <c r="I8" s="11"/>
      <c r="J8" s="11"/>
      <c r="K8" s="11"/>
      <c r="L8" s="11"/>
      <c r="M8" s="11"/>
      <c r="N8" s="11"/>
      <c r="O8" s="11"/>
      <c r="P8" s="11"/>
      <c r="Q8" s="11"/>
      <c r="R8" s="11"/>
      <c r="S8" s="11"/>
      <c r="T8" s="11"/>
      <c r="U8" s="12"/>
      <c r="V8" s="46"/>
    </row>
    <row r="9" spans="1:22" s="40" customFormat="1">
      <c r="A9" s="46"/>
      <c r="B9" s="17"/>
      <c r="C9" s="18"/>
      <c r="D9" s="18"/>
      <c r="E9" s="18"/>
      <c r="F9" s="18"/>
      <c r="G9" s="18"/>
      <c r="H9" s="18"/>
      <c r="I9" s="18"/>
      <c r="J9" s="18"/>
      <c r="K9" s="18"/>
      <c r="L9" s="18"/>
      <c r="M9" s="18"/>
      <c r="N9" s="18"/>
      <c r="O9" s="18"/>
      <c r="P9" s="18"/>
      <c r="Q9" s="18"/>
      <c r="R9" s="18"/>
      <c r="S9" s="18"/>
      <c r="T9" s="18"/>
      <c r="U9" s="19"/>
      <c r="V9" s="46"/>
    </row>
    <row r="10" spans="1:22" s="40" customFormat="1">
      <c r="A10" s="46"/>
      <c r="B10" s="110"/>
      <c r="C10" s="105" t="s">
        <v>197</v>
      </c>
      <c r="D10" s="105"/>
      <c r="E10" s="151">
        <v>1</v>
      </c>
      <c r="F10" s="105"/>
      <c r="G10" s="706" t="s">
        <v>817</v>
      </c>
      <c r="H10" s="105"/>
      <c r="I10" s="105"/>
      <c r="J10" s="582"/>
      <c r="K10" s="207"/>
      <c r="L10" s="59"/>
      <c r="M10" s="59"/>
      <c r="N10" s="59"/>
      <c r="O10" s="59"/>
      <c r="P10" s="59" t="s">
        <v>203</v>
      </c>
      <c r="Q10" s="59"/>
      <c r="R10" s="59"/>
      <c r="S10" s="59"/>
      <c r="T10" s="59"/>
      <c r="U10" s="227"/>
      <c r="V10" s="46"/>
    </row>
    <row r="11" spans="1:22" s="40" customFormat="1">
      <c r="A11" s="46"/>
      <c r="B11" s="110"/>
      <c r="C11" s="105" t="s">
        <v>9</v>
      </c>
      <c r="D11" s="105"/>
      <c r="E11" s="111" t="s">
        <v>10</v>
      </c>
      <c r="F11" s="105"/>
      <c r="G11" s="581"/>
      <c r="H11" s="105"/>
      <c r="I11" s="105"/>
      <c r="J11" s="582"/>
      <c r="K11" s="581"/>
      <c r="L11" s="105"/>
      <c r="M11" s="105"/>
      <c r="N11" s="105"/>
      <c r="O11" s="105"/>
      <c r="P11" s="105"/>
      <c r="Q11" s="105"/>
      <c r="R11" s="105"/>
      <c r="S11" s="105"/>
      <c r="T11" s="105"/>
      <c r="U11" s="582"/>
      <c r="V11" s="46"/>
    </row>
    <row r="12" spans="1:22" s="40" customFormat="1" ht="15">
      <c r="A12" s="46"/>
      <c r="B12" s="106" t="s">
        <v>205</v>
      </c>
      <c r="C12" s="8"/>
      <c r="D12" s="8"/>
      <c r="E12" s="8"/>
      <c r="F12" s="8"/>
      <c r="G12" s="8"/>
      <c r="H12" s="8"/>
      <c r="I12" s="8"/>
      <c r="J12" s="8"/>
      <c r="K12" s="127" t="s">
        <v>287</v>
      </c>
      <c r="L12" s="128"/>
      <c r="M12" s="128"/>
      <c r="N12" s="128"/>
      <c r="O12" s="128"/>
      <c r="P12" s="8"/>
      <c r="Q12" s="8"/>
      <c r="R12" s="8"/>
      <c r="S12" s="8"/>
      <c r="T12" s="8"/>
      <c r="U12" s="9"/>
      <c r="V12" s="46"/>
    </row>
    <row r="13" spans="1:22" s="40" customFormat="1" ht="15">
      <c r="A13" s="46"/>
      <c r="B13" s="10" t="s">
        <v>342</v>
      </c>
      <c r="C13" s="11"/>
      <c r="D13" s="15">
        <v>400</v>
      </c>
      <c r="E13" s="15" t="s">
        <v>242</v>
      </c>
      <c r="F13" s="107">
        <f>D13*(1/3600)*(1000/1)</f>
        <v>111.1111111111111</v>
      </c>
      <c r="G13" s="15" t="s">
        <v>243</v>
      </c>
      <c r="H13" s="11"/>
      <c r="I13" s="11"/>
      <c r="J13" s="11"/>
      <c r="K13" s="129" t="s">
        <v>288</v>
      </c>
      <c r="L13" s="125"/>
      <c r="M13" s="125"/>
      <c r="N13" s="125"/>
      <c r="O13" s="125"/>
      <c r="P13" s="11"/>
      <c r="Q13" s="11"/>
      <c r="R13" s="11"/>
      <c r="S13" s="11"/>
      <c r="T13" s="11"/>
      <c r="U13" s="12"/>
      <c r="V13" s="46"/>
    </row>
    <row r="14" spans="1:22" s="40" customFormat="1">
      <c r="A14" s="46"/>
      <c r="B14" s="10" t="s">
        <v>244</v>
      </c>
      <c r="C14" s="11"/>
      <c r="D14" s="15">
        <f>(2*23.5)+(4*25.1)</f>
        <v>147.4</v>
      </c>
      <c r="E14" s="15" t="s">
        <v>15</v>
      </c>
      <c r="F14" s="11" t="s">
        <v>245</v>
      </c>
      <c r="G14" s="11"/>
      <c r="H14" s="11"/>
      <c r="I14" s="11"/>
      <c r="J14" s="11"/>
      <c r="K14" s="154" t="s">
        <v>289</v>
      </c>
      <c r="L14" s="125"/>
      <c r="M14" s="125"/>
      <c r="N14" s="125"/>
      <c r="O14" s="125"/>
      <c r="P14" s="11"/>
      <c r="Q14" s="11"/>
      <c r="R14" s="11"/>
      <c r="S14" s="11"/>
      <c r="T14" s="11"/>
      <c r="U14" s="12"/>
      <c r="V14" s="46"/>
    </row>
    <row r="15" spans="1:22" s="40" customFormat="1" ht="16.5">
      <c r="A15" s="46"/>
      <c r="B15" s="10" t="s">
        <v>818</v>
      </c>
      <c r="C15" s="11"/>
      <c r="D15" s="15">
        <f>D14/F13</f>
        <v>1.3266000000000002</v>
      </c>
      <c r="E15" s="15" t="s">
        <v>237</v>
      </c>
      <c r="F15" s="76" t="s">
        <v>248</v>
      </c>
      <c r="G15" s="11"/>
      <c r="H15" s="11"/>
      <c r="I15" s="11"/>
      <c r="J15" s="11"/>
      <c r="K15" s="10" t="s">
        <v>290</v>
      </c>
      <c r="L15" s="125"/>
      <c r="M15" s="125"/>
      <c r="N15" s="125"/>
      <c r="O15" s="125"/>
      <c r="P15" s="11"/>
      <c r="Q15" s="11"/>
      <c r="R15" s="11"/>
      <c r="S15" s="11"/>
      <c r="T15" s="11"/>
      <c r="U15" s="12"/>
      <c r="V15" s="46"/>
    </row>
    <row r="16" spans="1:22" s="40" customFormat="1" ht="16.5">
      <c r="A16" s="46"/>
      <c r="B16" s="10"/>
      <c r="C16" s="11"/>
      <c r="D16" s="15"/>
      <c r="E16" s="15"/>
      <c r="F16" s="76" t="s">
        <v>249</v>
      </c>
      <c r="G16" s="11"/>
      <c r="H16" s="11"/>
      <c r="I16" s="11"/>
      <c r="J16" s="11"/>
      <c r="K16" s="161" t="s">
        <v>300</v>
      </c>
      <c r="L16" s="125"/>
      <c r="M16" s="125"/>
      <c r="N16" s="125"/>
      <c r="O16" s="125"/>
      <c r="P16" s="11"/>
      <c r="Q16" s="11"/>
      <c r="R16" s="11"/>
      <c r="S16" s="11"/>
      <c r="T16" s="11"/>
      <c r="U16" s="12"/>
      <c r="V16" s="46"/>
    </row>
    <row r="17" spans="1:22" s="40" customFormat="1" ht="16.5">
      <c r="A17" s="46"/>
      <c r="B17" s="10" t="s">
        <v>298</v>
      </c>
      <c r="C17" s="11"/>
      <c r="D17" s="107">
        <f>'Passby Data Set 1'!C74-'Passby Data Set 1'!C41</f>
        <v>1.649999999999999</v>
      </c>
      <c r="E17" s="15" t="s">
        <v>237</v>
      </c>
      <c r="F17" s="76" t="s">
        <v>250</v>
      </c>
      <c r="G17" s="11"/>
      <c r="H17" s="11"/>
      <c r="I17" s="11"/>
      <c r="J17" s="11"/>
      <c r="K17" s="116" t="s">
        <v>299</v>
      </c>
      <c r="L17" s="125"/>
      <c r="M17" s="125"/>
      <c r="N17" s="125"/>
      <c r="O17" s="125"/>
      <c r="P17" s="11"/>
      <c r="Q17" s="11"/>
      <c r="R17" s="11"/>
      <c r="S17" s="11"/>
      <c r="T17" s="11"/>
      <c r="U17" s="12"/>
      <c r="V17" s="46"/>
    </row>
    <row r="18" spans="1:22" s="40" customFormat="1" ht="16.5">
      <c r="A18" s="46"/>
      <c r="B18" s="10"/>
      <c r="C18" s="11"/>
      <c r="D18" s="15"/>
      <c r="E18" s="15"/>
      <c r="F18" s="76" t="s">
        <v>251</v>
      </c>
      <c r="G18" s="11"/>
      <c r="H18" s="11"/>
      <c r="I18" s="11"/>
      <c r="J18" s="11"/>
      <c r="K18" s="10" t="s">
        <v>322</v>
      </c>
      <c r="L18" s="11"/>
      <c r="M18" s="11"/>
      <c r="N18" s="11"/>
      <c r="O18" s="11"/>
      <c r="P18" s="11"/>
      <c r="Q18" s="11"/>
      <c r="R18" s="11"/>
      <c r="S18" s="11"/>
      <c r="T18" s="11"/>
      <c r="U18" s="12"/>
      <c r="V18" s="46"/>
    </row>
    <row r="19" spans="1:22" s="40" customFormat="1" ht="16.5">
      <c r="A19" s="46"/>
      <c r="B19" s="10"/>
      <c r="C19" s="11"/>
      <c r="D19" s="15"/>
      <c r="E19" s="15"/>
      <c r="F19" s="11" t="s">
        <v>252</v>
      </c>
      <c r="G19" s="11"/>
      <c r="H19" s="11"/>
      <c r="I19" s="11"/>
      <c r="J19" s="11"/>
      <c r="K19" s="10" t="s">
        <v>323</v>
      </c>
      <c r="L19" s="11"/>
      <c r="M19" s="11"/>
      <c r="N19" s="11"/>
      <c r="O19" s="11"/>
      <c r="P19" s="11"/>
      <c r="Q19" s="11"/>
      <c r="R19" s="11"/>
      <c r="S19" s="11"/>
      <c r="T19" s="11"/>
      <c r="U19" s="12"/>
      <c r="V19" s="46"/>
    </row>
    <row r="20" spans="1:22" s="40" customFormat="1" ht="16.5">
      <c r="A20" s="46"/>
      <c r="B20" s="10"/>
      <c r="C20" s="11"/>
      <c r="D20" s="15"/>
      <c r="E20" s="15"/>
      <c r="F20" s="11" t="s">
        <v>253</v>
      </c>
      <c r="G20" s="11"/>
      <c r="H20" s="11"/>
      <c r="I20" s="11"/>
      <c r="J20" s="11"/>
      <c r="K20" s="186" t="s">
        <v>369</v>
      </c>
      <c r="L20" s="11"/>
      <c r="M20" s="11"/>
      <c r="N20" s="11"/>
      <c r="O20" s="11"/>
      <c r="P20" s="11"/>
      <c r="Q20" s="11"/>
      <c r="R20" s="11"/>
      <c r="S20" s="11"/>
      <c r="T20" s="11"/>
      <c r="U20" s="12"/>
      <c r="V20" s="46"/>
    </row>
    <row r="21" spans="1:22" s="40" customFormat="1" ht="16.5">
      <c r="A21" s="46"/>
      <c r="B21" s="17"/>
      <c r="C21" s="18"/>
      <c r="D21" s="108"/>
      <c r="E21" s="108"/>
      <c r="F21" s="18" t="s">
        <v>254</v>
      </c>
      <c r="G21" s="18"/>
      <c r="H21" s="18"/>
      <c r="I21" s="18"/>
      <c r="J21" s="18"/>
      <c r="K21" s="130" t="s">
        <v>368</v>
      </c>
      <c r="L21" s="131"/>
      <c r="M21" s="131"/>
      <c r="N21" s="131"/>
      <c r="O21" s="131"/>
      <c r="P21" s="18"/>
      <c r="Q21" s="18"/>
      <c r="R21" s="18"/>
      <c r="S21" s="18"/>
      <c r="T21" s="18"/>
      <c r="U21" s="19"/>
      <c r="V21" s="46"/>
    </row>
    <row r="22" spans="1:22" s="40" customFormat="1">
      <c r="A22" s="46"/>
      <c r="B22" s="11"/>
      <c r="C22" s="11"/>
      <c r="D22" s="15"/>
      <c r="E22" s="15"/>
      <c r="F22" s="11"/>
      <c r="G22" s="11"/>
      <c r="H22" s="11"/>
      <c r="I22" s="11"/>
      <c r="J22" s="11"/>
      <c r="K22" s="46"/>
      <c r="L22" s="46"/>
      <c r="M22" s="46"/>
      <c r="N22" s="46"/>
      <c r="O22" s="46"/>
      <c r="P22" s="46"/>
      <c r="Q22" s="46"/>
      <c r="R22" s="46"/>
      <c r="S22" s="46"/>
      <c r="T22" s="46"/>
      <c r="U22" s="46"/>
      <c r="V22" s="46"/>
    </row>
    <row r="23" spans="1:22" s="40" customFormat="1" ht="16.5">
      <c r="A23" s="46"/>
      <c r="B23" s="106" t="s">
        <v>206</v>
      </c>
      <c r="C23" s="8"/>
      <c r="D23" s="8"/>
      <c r="E23" s="8"/>
      <c r="F23" s="8"/>
      <c r="G23" s="8"/>
      <c r="H23" s="8"/>
      <c r="I23" s="8"/>
      <c r="J23" s="8"/>
      <c r="K23" s="8"/>
      <c r="L23" s="8"/>
      <c r="M23" s="8"/>
      <c r="N23" s="8"/>
      <c r="O23" s="8"/>
      <c r="P23" s="8"/>
      <c r="Q23" s="8"/>
      <c r="R23" s="8"/>
      <c r="S23" s="8"/>
      <c r="T23" s="8"/>
      <c r="U23" s="9"/>
      <c r="V23" s="46"/>
    </row>
    <row r="24" spans="1:22" s="40" customFormat="1" ht="16.5">
      <c r="A24" s="46"/>
      <c r="B24" s="10" t="s">
        <v>223</v>
      </c>
      <c r="C24" s="11"/>
      <c r="D24" s="11"/>
      <c r="E24" s="11"/>
      <c r="F24" s="11"/>
      <c r="G24" s="11"/>
      <c r="H24" s="11"/>
      <c r="I24" s="11"/>
      <c r="J24" s="11" t="s">
        <v>292</v>
      </c>
      <c r="K24" s="11"/>
      <c r="L24" s="11"/>
      <c r="M24" s="11"/>
      <c r="N24" s="11"/>
      <c r="O24" s="11"/>
      <c r="P24" s="11"/>
      <c r="Q24" s="11"/>
      <c r="R24" s="11"/>
      <c r="S24" s="11"/>
      <c r="T24" s="11"/>
      <c r="U24" s="12"/>
      <c r="V24" s="46"/>
    </row>
    <row r="25" spans="1:22" s="40" customFormat="1">
      <c r="A25" s="46"/>
      <c r="B25" s="10" t="s">
        <v>811</v>
      </c>
      <c r="C25" s="11"/>
      <c r="D25" s="11"/>
      <c r="E25" s="11"/>
      <c r="F25" s="11"/>
      <c r="G25" s="11"/>
      <c r="H25" s="11"/>
      <c r="I25" s="11"/>
      <c r="J25" s="11"/>
      <c r="K25" s="11"/>
      <c r="L25" s="11"/>
      <c r="M25" s="11"/>
      <c r="N25" s="11"/>
      <c r="O25" s="11"/>
      <c r="P25" s="11"/>
      <c r="Q25" s="11"/>
      <c r="R25" s="11"/>
      <c r="S25" s="11"/>
      <c r="T25" s="11"/>
      <c r="U25" s="12"/>
      <c r="V25" s="46"/>
    </row>
    <row r="26" spans="1:22" s="40" customFormat="1">
      <c r="A26" s="46"/>
      <c r="B26" s="10"/>
      <c r="C26" s="11"/>
      <c r="D26" s="11"/>
      <c r="E26" s="11"/>
      <c r="F26" s="11"/>
      <c r="G26" s="11"/>
      <c r="H26" s="11"/>
      <c r="I26" s="11"/>
      <c r="J26" s="11" t="s">
        <v>213</v>
      </c>
      <c r="K26" s="11"/>
      <c r="L26" s="11"/>
      <c r="M26" s="11"/>
      <c r="N26" s="11"/>
      <c r="O26" s="11"/>
      <c r="P26" s="11"/>
      <c r="Q26" s="11"/>
      <c r="R26" s="11"/>
      <c r="S26" s="11"/>
      <c r="T26" s="11"/>
      <c r="U26" s="12"/>
      <c r="V26" s="46"/>
    </row>
    <row r="27" spans="1:22" ht="16.5">
      <c r="A27" s="46"/>
      <c r="B27" s="10"/>
      <c r="C27" s="11"/>
      <c r="D27" s="11"/>
      <c r="E27" s="11"/>
      <c r="F27" s="11"/>
      <c r="G27" s="11"/>
      <c r="H27" s="11"/>
      <c r="I27" s="11"/>
      <c r="J27" s="15" t="s">
        <v>214</v>
      </c>
      <c r="K27" s="11" t="s">
        <v>215</v>
      </c>
      <c r="L27" s="11"/>
      <c r="M27" s="11"/>
      <c r="N27" s="11"/>
      <c r="O27" s="11"/>
      <c r="P27" s="11"/>
      <c r="Q27" s="11"/>
      <c r="R27" s="11"/>
      <c r="S27" s="11"/>
      <c r="T27" s="11"/>
      <c r="U27" s="12"/>
      <c r="V27" s="46"/>
    </row>
    <row r="28" spans="1:22" ht="16.5">
      <c r="A28" s="46"/>
      <c r="B28" s="10"/>
      <c r="C28" s="11"/>
      <c r="D28" s="11"/>
      <c r="E28" s="11"/>
      <c r="F28" s="11"/>
      <c r="G28" s="11"/>
      <c r="H28" s="11"/>
      <c r="I28" s="11"/>
      <c r="J28" s="15" t="s">
        <v>216</v>
      </c>
      <c r="K28" s="11" t="s">
        <v>217</v>
      </c>
      <c r="L28" s="11"/>
      <c r="M28" s="11"/>
      <c r="N28" s="11"/>
      <c r="O28" s="11"/>
      <c r="P28" s="11"/>
      <c r="Q28" s="11"/>
      <c r="R28" s="11"/>
      <c r="S28" s="11"/>
      <c r="T28" s="11"/>
      <c r="U28" s="12"/>
      <c r="V28" s="46"/>
    </row>
    <row r="29" spans="1:22" ht="16.5">
      <c r="A29" s="46"/>
      <c r="B29" s="10"/>
      <c r="C29" s="11"/>
      <c r="D29" s="11"/>
      <c r="E29" s="11"/>
      <c r="F29" s="11"/>
      <c r="G29" s="11"/>
      <c r="H29" s="11"/>
      <c r="I29" s="11"/>
      <c r="J29" s="15" t="s">
        <v>218</v>
      </c>
      <c r="K29" s="11" t="s">
        <v>219</v>
      </c>
      <c r="L29" s="11"/>
      <c r="M29" s="11"/>
      <c r="N29" s="11"/>
      <c r="O29" s="11"/>
      <c r="P29" s="11"/>
      <c r="Q29" s="11"/>
      <c r="R29" s="11"/>
      <c r="S29" s="11"/>
      <c r="T29" s="11"/>
      <c r="U29" s="12"/>
      <c r="V29" s="46"/>
    </row>
    <row r="30" spans="1:22" ht="16.5">
      <c r="A30" s="46"/>
      <c r="B30" s="10"/>
      <c r="C30" s="11"/>
      <c r="D30" s="11"/>
      <c r="E30" s="11"/>
      <c r="F30" s="11"/>
      <c r="G30" s="11"/>
      <c r="H30" s="11"/>
      <c r="I30" s="11"/>
      <c r="J30" s="15" t="s">
        <v>226</v>
      </c>
      <c r="K30" s="11" t="s">
        <v>227</v>
      </c>
      <c r="L30" s="11"/>
      <c r="M30" s="11"/>
      <c r="N30" s="11"/>
      <c r="O30" s="11"/>
      <c r="P30" s="11"/>
      <c r="Q30" s="11"/>
      <c r="R30" s="11"/>
      <c r="S30" s="11"/>
      <c r="T30" s="11"/>
      <c r="U30" s="12"/>
      <c r="V30" s="46"/>
    </row>
    <row r="31" spans="1:22" s="40" customFormat="1" ht="16.5">
      <c r="A31" s="46"/>
      <c r="B31" s="10" t="s">
        <v>893</v>
      </c>
      <c r="C31" s="11"/>
      <c r="D31" s="11"/>
      <c r="E31" s="11"/>
      <c r="F31" s="11"/>
      <c r="G31" s="11"/>
      <c r="H31" s="11"/>
      <c r="I31" s="11"/>
      <c r="J31" s="156" t="s">
        <v>221</v>
      </c>
      <c r="K31" s="11" t="s">
        <v>220</v>
      </c>
      <c r="L31" s="11"/>
      <c r="M31" s="11"/>
      <c r="N31" s="11" t="s">
        <v>232</v>
      </c>
      <c r="O31" s="15">
        <v>2.0000000000000002E-5</v>
      </c>
      <c r="P31" s="15" t="s">
        <v>44</v>
      </c>
      <c r="Q31" s="11"/>
      <c r="R31" s="11"/>
      <c r="S31" s="11"/>
      <c r="T31" s="11"/>
      <c r="U31" s="12"/>
      <c r="V31" s="46"/>
    </row>
    <row r="32" spans="1:22" s="40" customFormat="1" ht="16.5">
      <c r="A32" s="46"/>
      <c r="B32" s="10"/>
      <c r="C32" s="11"/>
      <c r="D32" s="11"/>
      <c r="E32" s="11"/>
      <c r="F32" s="11"/>
      <c r="G32" s="11"/>
      <c r="H32" s="11"/>
      <c r="I32" s="11"/>
      <c r="J32" s="157" t="s">
        <v>225</v>
      </c>
      <c r="K32" s="11" t="s">
        <v>236</v>
      </c>
      <c r="L32" s="11"/>
      <c r="M32" s="11"/>
      <c r="N32" s="11"/>
      <c r="O32" s="11"/>
      <c r="P32" s="15">
        <v>0.05</v>
      </c>
      <c r="Q32" s="15" t="s">
        <v>237</v>
      </c>
      <c r="R32" s="11"/>
      <c r="S32" s="11"/>
      <c r="T32" s="11"/>
      <c r="U32" s="12"/>
      <c r="V32" s="46"/>
    </row>
    <row r="33" spans="1:22" s="40" customFormat="1" ht="16.5">
      <c r="A33" s="46"/>
      <c r="B33" s="10"/>
      <c r="C33" s="11"/>
      <c r="D33" s="11"/>
      <c r="E33" s="11"/>
      <c r="F33" s="11"/>
      <c r="G33" s="11"/>
      <c r="H33" s="11"/>
      <c r="I33" s="11"/>
      <c r="J33" s="15" t="s">
        <v>228</v>
      </c>
      <c r="K33" s="11" t="s">
        <v>752</v>
      </c>
      <c r="L33" s="11"/>
      <c r="M33" s="11"/>
      <c r="N33" s="11"/>
      <c r="O33" s="11"/>
      <c r="P33" s="11"/>
      <c r="Q33" s="11"/>
      <c r="R33" s="11"/>
      <c r="S33" s="11"/>
      <c r="T33" s="11"/>
      <c r="U33" s="12"/>
      <c r="V33" s="46"/>
    </row>
    <row r="34" spans="1:22" s="40" customFormat="1">
      <c r="A34" s="46"/>
      <c r="B34" s="10"/>
      <c r="C34" s="11"/>
      <c r="D34" s="11"/>
      <c r="E34" s="11"/>
      <c r="F34" s="11"/>
      <c r="G34" s="11"/>
      <c r="H34" s="11"/>
      <c r="I34" s="11"/>
      <c r="J34" s="11"/>
      <c r="K34" s="11"/>
      <c r="L34" s="11"/>
      <c r="M34" s="11"/>
      <c r="N34" s="11"/>
      <c r="O34" s="11"/>
      <c r="P34" s="11"/>
      <c r="Q34" s="11"/>
      <c r="R34" s="11"/>
      <c r="S34" s="11"/>
      <c r="T34" s="11"/>
      <c r="U34" s="12"/>
      <c r="V34" s="46"/>
    </row>
    <row r="35" spans="1:22" s="40" customFormat="1">
      <c r="A35" s="46"/>
      <c r="B35" s="10"/>
      <c r="C35" s="11"/>
      <c r="D35" s="11"/>
      <c r="E35" s="11"/>
      <c r="F35" s="11"/>
      <c r="G35" s="11" t="s">
        <v>728</v>
      </c>
      <c r="H35" s="11"/>
      <c r="I35" s="11"/>
      <c r="K35" s="11"/>
      <c r="L35" s="11"/>
      <c r="M35" s="11"/>
      <c r="N35" s="11"/>
      <c r="O35" s="11"/>
      <c r="P35" s="11"/>
      <c r="Q35" s="11"/>
      <c r="R35" s="11"/>
      <c r="S35" s="11"/>
      <c r="T35" s="11"/>
      <c r="U35" s="12"/>
      <c r="V35" s="46"/>
    </row>
    <row r="36" spans="1:22">
      <c r="A36" s="46"/>
      <c r="B36" s="17"/>
      <c r="C36" s="108"/>
      <c r="D36" s="18"/>
      <c r="E36" s="18"/>
      <c r="F36" s="18"/>
      <c r="G36" s="18" t="s">
        <v>729</v>
      </c>
      <c r="H36" s="18"/>
      <c r="I36" s="18"/>
      <c r="J36" s="18"/>
      <c r="K36" s="18"/>
      <c r="L36" s="18"/>
      <c r="M36" s="18"/>
      <c r="N36" s="18"/>
      <c r="O36" s="18"/>
      <c r="P36" s="18"/>
      <c r="Q36" s="18"/>
      <c r="R36" s="18"/>
      <c r="S36" s="18"/>
      <c r="T36" s="18"/>
      <c r="U36" s="19"/>
      <c r="V36" s="46"/>
    </row>
    <row r="37" spans="1:22" ht="33.75" customHeight="1">
      <c r="A37" s="46"/>
      <c r="B37" s="43" t="s">
        <v>192</v>
      </c>
      <c r="C37" s="101" t="s">
        <v>27</v>
      </c>
      <c r="D37" s="44" t="s">
        <v>230</v>
      </c>
      <c r="E37" s="43" t="s">
        <v>231</v>
      </c>
      <c r="F37" s="44" t="s">
        <v>233</v>
      </c>
      <c r="G37" s="43" t="s">
        <v>192</v>
      </c>
      <c r="H37" s="101" t="s">
        <v>27</v>
      </c>
      <c r="I37" s="44" t="s">
        <v>230</v>
      </c>
      <c r="J37" s="43" t="s">
        <v>231</v>
      </c>
      <c r="K37" s="44" t="s">
        <v>233</v>
      </c>
      <c r="L37" s="43" t="s">
        <v>192</v>
      </c>
      <c r="M37" s="101" t="s">
        <v>27</v>
      </c>
      <c r="N37" s="44" t="s">
        <v>230</v>
      </c>
      <c r="O37" s="43" t="s">
        <v>231</v>
      </c>
      <c r="P37" s="44" t="s">
        <v>233</v>
      </c>
      <c r="Q37" s="43" t="s">
        <v>192</v>
      </c>
      <c r="R37" s="101" t="s">
        <v>27</v>
      </c>
      <c r="S37" s="44" t="s">
        <v>230</v>
      </c>
      <c r="T37" s="43" t="s">
        <v>231</v>
      </c>
      <c r="U37" s="44" t="s">
        <v>233</v>
      </c>
      <c r="V37" s="46"/>
    </row>
    <row r="38" spans="1:22" s="40" customFormat="1">
      <c r="A38" s="46"/>
      <c r="B38" s="41">
        <f>'Passby Data Set 1'!B24</f>
        <v>1</v>
      </c>
      <c r="C38" s="102">
        <f>'Passby Data Set 1'!C24</f>
        <v>0</v>
      </c>
      <c r="D38" s="102">
        <f>'Passby Data Set 1'!D24</f>
        <v>79.099999999999994</v>
      </c>
      <c r="E38" s="103">
        <f>'Passby Data Set 1'!E24</f>
        <v>0.18031422752119131</v>
      </c>
      <c r="F38" s="104">
        <f t="shared" ref="F38:F52" si="0">(E38*E38)/($O$31*$O$31)</f>
        <v>81283051.616409853</v>
      </c>
      <c r="G38" s="41">
        <f>'Passby Data Set 1'!B39</f>
        <v>16</v>
      </c>
      <c r="H38" s="102">
        <f>'Passby Data Set 1'!C39</f>
        <v>0.75000000000000011</v>
      </c>
      <c r="I38" s="102">
        <f>'Passby Data Set 1'!D39</f>
        <v>91.3</v>
      </c>
      <c r="J38" s="103">
        <f>'Passby Data Set 1'!E39</f>
        <v>0.7345646009961686</v>
      </c>
      <c r="K38" s="104">
        <f t="shared" ref="K38:K52" si="1">(J38*J38)/($O$31*$O$31)</f>
        <v>1348962882.591651</v>
      </c>
      <c r="L38" s="41">
        <f>'Passby Data Set 1'!B54</f>
        <v>31</v>
      </c>
      <c r="M38" s="102">
        <f>'Passby Data Set 1'!C54</f>
        <v>1.5000000000000007</v>
      </c>
      <c r="N38" s="102">
        <f>'Passby Data Set 1'!D54</f>
        <v>108.9</v>
      </c>
      <c r="O38" s="103">
        <f>'Passby Data Set 1'!E54</f>
        <v>5.5722423372595484</v>
      </c>
      <c r="P38" s="104">
        <f t="shared" ref="P38:P52" si="2">(O38*O38)/($O$31*$O$31)</f>
        <v>77624711662.86937</v>
      </c>
      <c r="Q38" s="41">
        <f>'Passby Data Set 1'!B69</f>
        <v>46</v>
      </c>
      <c r="R38" s="102">
        <f>'Passby Data Set 1'!C69</f>
        <v>2.25</v>
      </c>
      <c r="S38" s="102">
        <f>'Passby Data Set 1'!D69</f>
        <v>107.4</v>
      </c>
      <c r="T38" s="103">
        <f>'Passby Data Set 1'!E69</f>
        <v>4.6884576306398538</v>
      </c>
      <c r="U38" s="104">
        <f t="shared" ref="U38:U51" si="3">(T38*T38)/($O$31*$O$31)</f>
        <v>54954087385.762672</v>
      </c>
      <c r="V38" s="46"/>
    </row>
    <row r="39" spans="1:22" s="40" customFormat="1">
      <c r="A39" s="46"/>
      <c r="B39" s="41">
        <f>'Passby Data Set 1'!B25</f>
        <v>2</v>
      </c>
      <c r="C39" s="102">
        <f>'Passby Data Set 1'!C25</f>
        <v>0.05</v>
      </c>
      <c r="D39" s="102">
        <f>'Passby Data Set 1'!D25</f>
        <v>79.400000000000006</v>
      </c>
      <c r="E39" s="103">
        <f>'Passby Data Set 1'!E25</f>
        <v>0.18665086015939844</v>
      </c>
      <c r="F39" s="104">
        <f t="shared" si="0"/>
        <v>87096358.995608255</v>
      </c>
      <c r="G39" s="41">
        <f>'Passby Data Set 1'!B40</f>
        <v>17</v>
      </c>
      <c r="H39" s="102">
        <f>'Passby Data Set 1'!C40</f>
        <v>0.80000000000000016</v>
      </c>
      <c r="I39" s="102">
        <f>'Passby Data Set 1'!D40</f>
        <v>93.2</v>
      </c>
      <c r="J39" s="103">
        <f>'Passby Data Set 1'!E40</f>
        <v>0.9141763792297517</v>
      </c>
      <c r="K39" s="104">
        <f t="shared" si="1"/>
        <v>2089296130.8540466</v>
      </c>
      <c r="L39" s="41">
        <f>'Passby Data Set 1'!B55</f>
        <v>32</v>
      </c>
      <c r="M39" s="102">
        <f>'Passby Data Set 1'!C55</f>
        <v>1.5500000000000007</v>
      </c>
      <c r="N39" s="102">
        <f>'Passby Data Set 1'!D55</f>
        <v>107.3</v>
      </c>
      <c r="O39" s="103">
        <f>'Passby Data Set 1'!E55</f>
        <v>4.6347892999369673</v>
      </c>
      <c r="P39" s="104">
        <f t="shared" si="2"/>
        <v>53703179637.025497</v>
      </c>
      <c r="Q39" s="41">
        <f>'Passby Data Set 1'!B70</f>
        <v>47</v>
      </c>
      <c r="R39" s="102">
        <f>'Passby Data Set 1'!C70</f>
        <v>2.2999999999999998</v>
      </c>
      <c r="S39" s="102">
        <f>'Passby Data Set 1'!D70</f>
        <v>107.2</v>
      </c>
      <c r="T39" s="103">
        <f>'Passby Data Set 1'!E70</f>
        <v>4.5817353055355561</v>
      </c>
      <c r="U39" s="104">
        <f t="shared" si="3"/>
        <v>52480746024.977478</v>
      </c>
      <c r="V39" s="46"/>
    </row>
    <row r="40" spans="1:22" s="40" customFormat="1">
      <c r="A40" s="46"/>
      <c r="B40" s="41">
        <f>'Passby Data Set 1'!B26</f>
        <v>3</v>
      </c>
      <c r="C40" s="102">
        <f>'Passby Data Set 1'!C26</f>
        <v>0.1</v>
      </c>
      <c r="D40" s="102">
        <f>'Passby Data Set 1'!D26</f>
        <v>79.900000000000006</v>
      </c>
      <c r="E40" s="103">
        <f>'Passby Data Set 1'!E26</f>
        <v>0.19771061893138797</v>
      </c>
      <c r="F40" s="104">
        <f t="shared" si="0"/>
        <v>97723722.095581263</v>
      </c>
      <c r="G40" s="41">
        <f>'Passby Data Set 1'!B41</f>
        <v>18</v>
      </c>
      <c r="H40" s="102">
        <f>'Passby Data Set 1'!C41</f>
        <v>0.8500000000000002</v>
      </c>
      <c r="I40" s="102">
        <f>'Passby Data Set 1'!D41</f>
        <v>95.2</v>
      </c>
      <c r="J40" s="103">
        <f>'Passby Data Set 1'!E41</f>
        <v>1.1508798746743147</v>
      </c>
      <c r="K40" s="104">
        <f t="shared" si="1"/>
        <v>3311311214.8259153</v>
      </c>
      <c r="L40" s="41">
        <f>'Passby Data Set 1'!B56</f>
        <v>33</v>
      </c>
      <c r="M40" s="102">
        <f>'Passby Data Set 1'!C56</f>
        <v>1.6000000000000008</v>
      </c>
      <c r="N40" s="102">
        <f>'Passby Data Set 1'!D56</f>
        <v>106.2</v>
      </c>
      <c r="O40" s="103">
        <f>'Passby Data Set 1'!E56</f>
        <v>4.0834758893390699</v>
      </c>
      <c r="P40" s="104">
        <f t="shared" si="2"/>
        <v>41686938347.03376</v>
      </c>
      <c r="Q40" s="41">
        <f>'Passby Data Set 1'!B71</f>
        <v>48</v>
      </c>
      <c r="R40" s="102">
        <f>'Passby Data Set 1'!C71</f>
        <v>2.3499999999999996</v>
      </c>
      <c r="S40" s="102">
        <f>'Passby Data Set 1'!D71</f>
        <v>104.2</v>
      </c>
      <c r="T40" s="103">
        <f>'Passby Data Set 1'!E71</f>
        <v>3.2436201947178658</v>
      </c>
      <c r="U40" s="104">
        <f t="shared" si="3"/>
        <v>26302679918.953911</v>
      </c>
      <c r="V40" s="46"/>
    </row>
    <row r="41" spans="1:22" s="40" customFormat="1">
      <c r="A41" s="46"/>
      <c r="B41" s="41">
        <f>'Passby Data Set 1'!B27</f>
        <v>4</v>
      </c>
      <c r="C41" s="102">
        <f>'Passby Data Set 1'!C27</f>
        <v>0.15000000000000002</v>
      </c>
      <c r="D41" s="102">
        <f>'Passby Data Set 1'!D27</f>
        <v>80.2</v>
      </c>
      <c r="E41" s="103">
        <f>'Passby Data Set 1'!E27</f>
        <v>0.204658598456151</v>
      </c>
      <c r="F41" s="104">
        <f t="shared" si="0"/>
        <v>104712854.80509011</v>
      </c>
      <c r="G41" s="41">
        <f>'Passby Data Set 1'!B42</f>
        <v>19</v>
      </c>
      <c r="H41" s="102">
        <f>'Passby Data Set 1'!C42</f>
        <v>0.90000000000000024</v>
      </c>
      <c r="I41" s="102">
        <f>'Passby Data Set 1'!D42</f>
        <v>98.1</v>
      </c>
      <c r="J41" s="103">
        <f>'Passby Data Set 1'!E42</f>
        <v>1.6070522443712336</v>
      </c>
      <c r="K41" s="104">
        <f t="shared" si="1"/>
        <v>6456542290.3465462</v>
      </c>
      <c r="L41" s="41">
        <f>'Passby Data Set 1'!B57</f>
        <v>34</v>
      </c>
      <c r="M41" s="102">
        <f>'Passby Data Set 1'!C57</f>
        <v>1.6500000000000008</v>
      </c>
      <c r="N41" s="102">
        <f>'Passby Data Set 1'!D57</f>
        <v>108.3</v>
      </c>
      <c r="O41" s="103">
        <f>'Passby Data Set 1'!E57</f>
        <v>5.2003191263305526</v>
      </c>
      <c r="P41" s="104">
        <f t="shared" si="2"/>
        <v>67608297539.198395</v>
      </c>
      <c r="Q41" s="41">
        <f>'Passby Data Set 1'!B72</f>
        <v>49</v>
      </c>
      <c r="R41" s="102">
        <f>'Passby Data Set 1'!C72</f>
        <v>2.3999999999999995</v>
      </c>
      <c r="S41" s="102">
        <f>'Passby Data Set 1'!D72</f>
        <v>100.5</v>
      </c>
      <c r="T41" s="103">
        <f>'Passby Data Set 1'!E72</f>
        <v>2.1185074503545818</v>
      </c>
      <c r="U41" s="104">
        <f t="shared" si="3"/>
        <v>11220184543.019676</v>
      </c>
      <c r="V41" s="46"/>
    </row>
    <row r="42" spans="1:22" s="40" customFormat="1">
      <c r="A42" s="46"/>
      <c r="B42" s="41">
        <f>'Passby Data Set 1'!B28</f>
        <v>5</v>
      </c>
      <c r="C42" s="102">
        <f>'Passby Data Set 1'!C28</f>
        <v>0.2</v>
      </c>
      <c r="D42" s="102">
        <f>'Passby Data Set 1'!D28</f>
        <v>80.7</v>
      </c>
      <c r="E42" s="103">
        <f>'Passby Data Set 1'!E28</f>
        <v>0.21678538280424084</v>
      </c>
      <c r="F42" s="104">
        <f t="shared" si="0"/>
        <v>117489755.49395308</v>
      </c>
      <c r="G42" s="41">
        <f>'Passby Data Set 1'!B43</f>
        <v>20</v>
      </c>
      <c r="H42" s="102">
        <f>'Passby Data Set 1'!C43</f>
        <v>0.95000000000000029</v>
      </c>
      <c r="I42" s="102">
        <f>'Passby Data Set 1'!D43</f>
        <v>100.4</v>
      </c>
      <c r="J42" s="103">
        <f>'Passby Data Set 1'!E43</f>
        <v>2.0942570961018032</v>
      </c>
      <c r="K42" s="104">
        <f t="shared" si="1"/>
        <v>10964781961.43189</v>
      </c>
      <c r="L42" s="41">
        <f>'Passby Data Set 1'!B58</f>
        <v>35</v>
      </c>
      <c r="M42" s="102">
        <f>'Passby Data Set 1'!C58</f>
        <v>1.7000000000000008</v>
      </c>
      <c r="N42" s="102">
        <f>'Passby Data Set 1'!D58</f>
        <v>109.9</v>
      </c>
      <c r="O42" s="103">
        <f>'Passby Data Set 1'!E58</f>
        <v>6.2521587342479155</v>
      </c>
      <c r="P42" s="104">
        <f t="shared" si="2"/>
        <v>97723722095.581223</v>
      </c>
      <c r="Q42" s="41">
        <f>'Passby Data Set 1'!B73</f>
        <v>50</v>
      </c>
      <c r="R42" s="102">
        <f>'Passby Data Set 1'!C73</f>
        <v>2.4499999999999993</v>
      </c>
      <c r="S42" s="102">
        <f>'Passby Data Set 1'!D73</f>
        <v>100.3</v>
      </c>
      <c r="T42" s="103">
        <f>'Passby Data Set 1'!E73</f>
        <v>2.0702843333586882</v>
      </c>
      <c r="U42" s="104">
        <f t="shared" si="3"/>
        <v>10715193052.376068</v>
      </c>
      <c r="V42" s="46"/>
    </row>
    <row r="43" spans="1:22" s="40" customFormat="1">
      <c r="A43" s="46"/>
      <c r="B43" s="41">
        <f>'Passby Data Set 1'!B29</f>
        <v>6</v>
      </c>
      <c r="C43" s="102">
        <f>'Passby Data Set 1'!C29</f>
        <v>0.25</v>
      </c>
      <c r="D43" s="102">
        <f>'Passby Data Set 1'!D29</f>
        <v>81.599999999999994</v>
      </c>
      <c r="E43" s="103">
        <f>'Passby Data Set 1'!E29</f>
        <v>0.24045288692348304</v>
      </c>
      <c r="F43" s="104">
        <f t="shared" si="0"/>
        <v>144543977.07459331</v>
      </c>
      <c r="G43" s="41">
        <f>'Passby Data Set 1'!B44</f>
        <v>21</v>
      </c>
      <c r="H43" s="102">
        <f>'Passby Data Set 1'!C44</f>
        <v>1.0000000000000002</v>
      </c>
      <c r="I43" s="102">
        <f>'Passby Data Set 1'!D44</f>
        <v>103.2</v>
      </c>
      <c r="J43" s="103">
        <f>'Passby Data Set 1'!E44</f>
        <v>2.8908795414918615</v>
      </c>
      <c r="K43" s="104">
        <f t="shared" si="1"/>
        <v>20892961308.540485</v>
      </c>
      <c r="L43" s="41">
        <f>'Passby Data Set 1'!B59</f>
        <v>36</v>
      </c>
      <c r="M43" s="102">
        <f>'Passby Data Set 1'!C59</f>
        <v>1.7500000000000009</v>
      </c>
      <c r="N43" s="102">
        <f>'Passby Data Set 1'!D59</f>
        <v>108.3</v>
      </c>
      <c r="O43" s="103">
        <f>'Passby Data Set 1'!E59</f>
        <v>5.2003191263305526</v>
      </c>
      <c r="P43" s="104">
        <f t="shared" si="2"/>
        <v>67608297539.198395</v>
      </c>
      <c r="Q43" s="41">
        <f>'Passby Data Set 1'!B74</f>
        <v>51</v>
      </c>
      <c r="R43" s="102">
        <f>'Passby Data Set 1'!C74</f>
        <v>2.4999999999999991</v>
      </c>
      <c r="S43" s="102">
        <f>'Passby Data Set 1'!D74</f>
        <v>99.1</v>
      </c>
      <c r="T43" s="103">
        <f>'Passby Data Set 1'!E74</f>
        <v>1.8031422752119151</v>
      </c>
      <c r="U43" s="104">
        <f t="shared" si="3"/>
        <v>8128305161.6410027</v>
      </c>
      <c r="V43" s="46"/>
    </row>
    <row r="44" spans="1:22" s="40" customFormat="1">
      <c r="A44" s="46"/>
      <c r="B44" s="41">
        <f>'Passby Data Set 1'!B30</f>
        <v>7</v>
      </c>
      <c r="C44" s="102">
        <f>'Passby Data Set 1'!C30</f>
        <v>0.3</v>
      </c>
      <c r="D44" s="102">
        <f>'Passby Data Set 1'!D30</f>
        <v>82.1</v>
      </c>
      <c r="E44" s="103">
        <f>'Passby Data Set 1'!E30</f>
        <v>0.25470061620333234</v>
      </c>
      <c r="F44" s="104">
        <f t="shared" si="0"/>
        <v>162181009.73589295</v>
      </c>
      <c r="G44" s="41">
        <f>'Passby Data Set 1'!B45</f>
        <v>22</v>
      </c>
      <c r="H44" s="102">
        <f>'Passby Data Set 1'!C45</f>
        <v>1.0500000000000003</v>
      </c>
      <c r="I44" s="102">
        <f>'Passby Data Set 1'!D45</f>
        <v>106.4</v>
      </c>
      <c r="J44" s="103">
        <f>'Passby Data Set 1'!E45</f>
        <v>4.1785922617080899</v>
      </c>
      <c r="K44" s="104">
        <f t="shared" si="1"/>
        <v>43651583224.016815</v>
      </c>
      <c r="L44" s="41">
        <f>'Passby Data Set 1'!B60</f>
        <v>37</v>
      </c>
      <c r="M44" s="102">
        <f>'Passby Data Set 1'!C60</f>
        <v>1.8000000000000009</v>
      </c>
      <c r="N44" s="102">
        <f>'Passby Data Set 1'!D60</f>
        <v>106.8</v>
      </c>
      <c r="O44" s="103">
        <f>'Passby Data Set 1'!E60</f>
        <v>4.3755232478991077</v>
      </c>
      <c r="P44" s="104">
        <f t="shared" si="2"/>
        <v>47863009232.263885</v>
      </c>
      <c r="Q44" s="41">
        <f>'Passby Data Set 1'!B75</f>
        <v>52</v>
      </c>
      <c r="R44" s="102">
        <f>'Passby Data Set 1'!C75</f>
        <v>2.5499999999999989</v>
      </c>
      <c r="S44" s="102">
        <f>'Passby Data Set 1'!D75</f>
        <v>97.2</v>
      </c>
      <c r="T44" s="103">
        <f>'Passby Data Set 1'!E75</f>
        <v>1.4488719201499825</v>
      </c>
      <c r="U44" s="104">
        <f t="shared" si="3"/>
        <v>5248074602.4977427</v>
      </c>
      <c r="V44" s="46"/>
    </row>
    <row r="45" spans="1:22" s="40" customFormat="1">
      <c r="A45" s="46"/>
      <c r="B45" s="41">
        <f>'Passby Data Set 1'!B31</f>
        <v>8</v>
      </c>
      <c r="C45" s="102">
        <f>'Passby Data Set 1'!C31</f>
        <v>0.35</v>
      </c>
      <c r="D45" s="102">
        <f>'Passby Data Set 1'!D31</f>
        <v>83.2</v>
      </c>
      <c r="E45" s="103">
        <f>'Passby Data Set 1'!E31</f>
        <v>0.28908795414918587</v>
      </c>
      <c r="F45" s="104">
        <f t="shared" si="0"/>
        <v>208929613.08540446</v>
      </c>
      <c r="G45" s="41">
        <f>'Passby Data Set 1'!B46</f>
        <v>23</v>
      </c>
      <c r="H45" s="102">
        <f>'Passby Data Set 1'!C46</f>
        <v>1.1000000000000003</v>
      </c>
      <c r="I45" s="102">
        <f>'Passby Data Set 1'!D46</f>
        <v>106.2</v>
      </c>
      <c r="J45" s="103">
        <f>'Passby Data Set 1'!E46</f>
        <v>4.0834758893390699</v>
      </c>
      <c r="K45" s="104">
        <f t="shared" si="1"/>
        <v>41686938347.03376</v>
      </c>
      <c r="L45" s="41">
        <f>'Passby Data Set 1'!B61</f>
        <v>38</v>
      </c>
      <c r="M45" s="102">
        <f>'Passby Data Set 1'!C61</f>
        <v>1.850000000000001</v>
      </c>
      <c r="N45" s="102">
        <f>'Passby Data Set 1'!D61</f>
        <v>107.5</v>
      </c>
      <c r="O45" s="103">
        <f>'Passby Data Set 1'!E61</f>
        <v>4.7427474113233199</v>
      </c>
      <c r="P45" s="104">
        <f t="shared" si="2"/>
        <v>56234132519.035126</v>
      </c>
      <c r="Q45" s="41">
        <f>'Passby Data Set 1'!B76</f>
        <v>53</v>
      </c>
      <c r="R45" s="102">
        <f>'Passby Data Set 1'!C76</f>
        <v>2.5999999999999988</v>
      </c>
      <c r="S45" s="102">
        <f>'Passby Data Set 1'!D76</f>
        <v>96.4</v>
      </c>
      <c r="T45" s="103">
        <f>'Passby Data Set 1'!E76</f>
        <v>1.3213868960151947</v>
      </c>
      <c r="U45" s="104">
        <f t="shared" si="3"/>
        <v>4365158322.4016762</v>
      </c>
      <c r="V45" s="46"/>
    </row>
    <row r="46" spans="1:22" s="40" customFormat="1">
      <c r="A46" s="46"/>
      <c r="B46" s="41">
        <f>'Passby Data Set 1'!B32</f>
        <v>9</v>
      </c>
      <c r="C46" s="102">
        <f>'Passby Data Set 1'!C32</f>
        <v>0.39999999999999997</v>
      </c>
      <c r="D46" s="102">
        <f>'Passby Data Set 1'!D32</f>
        <v>84.2</v>
      </c>
      <c r="E46" s="103">
        <f>'Passby Data Set 1'!E32</f>
        <v>0.32436201947178622</v>
      </c>
      <c r="F46" s="104">
        <f t="shared" si="0"/>
        <v>263026799.18953851</v>
      </c>
      <c r="G46" s="41">
        <f>'Passby Data Set 1'!B47</f>
        <v>24</v>
      </c>
      <c r="H46" s="102">
        <f>'Passby Data Set 1'!C47</f>
        <v>1.1500000000000004</v>
      </c>
      <c r="I46" s="102">
        <f>'Passby Data Set 1'!D47</f>
        <v>105.7</v>
      </c>
      <c r="J46" s="103">
        <f>'Passby Data Set 1'!E47</f>
        <v>3.8550498263818764</v>
      </c>
      <c r="K46" s="104">
        <f t="shared" si="1"/>
        <v>37153522909.717331</v>
      </c>
      <c r="L46" s="41">
        <f>'Passby Data Set 1'!B62</f>
        <v>39</v>
      </c>
      <c r="M46" s="102">
        <f>'Passby Data Set 1'!C62</f>
        <v>1.900000000000001</v>
      </c>
      <c r="N46" s="102">
        <f>'Passby Data Set 1'!D62</f>
        <v>108.7</v>
      </c>
      <c r="O46" s="103">
        <f>'Passby Data Set 1'!E62</f>
        <v>5.4454026161558415</v>
      </c>
      <c r="P46" s="104">
        <f t="shared" si="2"/>
        <v>74131024130.092194</v>
      </c>
      <c r="Q46" s="41">
        <f>'Passby Data Set 1'!B77</f>
        <v>54</v>
      </c>
      <c r="R46" s="102">
        <f>'Passby Data Set 1'!C77</f>
        <v>2.6499999999999986</v>
      </c>
      <c r="S46" s="102">
        <f>'Passby Data Set 1'!D77</f>
        <v>95.3</v>
      </c>
      <c r="T46" s="103">
        <f>'Passby Data Set 1'!E77</f>
        <v>1.1642064355417436</v>
      </c>
      <c r="U46" s="104">
        <f t="shared" si="3"/>
        <v>3388441561.3920298</v>
      </c>
      <c r="V46" s="46"/>
    </row>
    <row r="47" spans="1:22" s="40" customFormat="1">
      <c r="A47" s="46"/>
      <c r="B47" s="41">
        <f>'Passby Data Set 1'!B33</f>
        <v>10</v>
      </c>
      <c r="C47" s="102">
        <f>'Passby Data Set 1'!C33</f>
        <v>0.44999999999999996</v>
      </c>
      <c r="D47" s="102">
        <f>'Passby Data Set 1'!D33</f>
        <v>85.2</v>
      </c>
      <c r="E47" s="103">
        <f>'Passby Data Set 1'!E33</f>
        <v>0.36394017172199677</v>
      </c>
      <c r="F47" s="104">
        <f t="shared" si="0"/>
        <v>331131121.48259121</v>
      </c>
      <c r="G47" s="41">
        <f>'Passby Data Set 1'!B48</f>
        <v>25</v>
      </c>
      <c r="H47" s="102">
        <f>'Passby Data Set 1'!C48</f>
        <v>1.2000000000000004</v>
      </c>
      <c r="I47" s="102">
        <f>'Passby Data Set 1'!D48</f>
        <v>108.2</v>
      </c>
      <c r="J47" s="103">
        <f>'Passby Data Set 1'!E48</f>
        <v>5.1407915655377359</v>
      </c>
      <c r="K47" s="104">
        <f t="shared" si="1"/>
        <v>66069344800.759804</v>
      </c>
      <c r="L47" s="41">
        <f>'Passby Data Set 1'!B63</f>
        <v>40</v>
      </c>
      <c r="M47" s="102">
        <f>'Passby Data Set 1'!C63</f>
        <v>1.9500000000000011</v>
      </c>
      <c r="N47" s="102">
        <f>'Passby Data Set 1'!D63</f>
        <v>107.5</v>
      </c>
      <c r="O47" s="103">
        <f>'Passby Data Set 1'!E63</f>
        <v>4.7427474113233199</v>
      </c>
      <c r="P47" s="104">
        <f t="shared" si="2"/>
        <v>56234132519.035126</v>
      </c>
      <c r="Q47" s="41">
        <f>'Passby Data Set 1'!B78</f>
        <v>55</v>
      </c>
      <c r="R47" s="102">
        <f>'Passby Data Set 1'!C78</f>
        <v>2.6999999999999984</v>
      </c>
      <c r="S47" s="102">
        <f>'Passby Data Set 1'!D78</f>
        <v>92.6</v>
      </c>
      <c r="T47" s="103">
        <f>'Passby Data Set 1'!E78</f>
        <v>0.85315903760318546</v>
      </c>
      <c r="U47" s="104">
        <f t="shared" si="3"/>
        <v>1819700858.6099839</v>
      </c>
      <c r="V47" s="46"/>
    </row>
    <row r="48" spans="1:22" s="40" customFormat="1">
      <c r="A48" s="46"/>
      <c r="B48" s="41">
        <f>'Passby Data Set 1'!B34</f>
        <v>11</v>
      </c>
      <c r="C48" s="102">
        <f>'Passby Data Set 1'!C34</f>
        <v>0.49999999999999994</v>
      </c>
      <c r="D48" s="102">
        <f>'Passby Data Set 1'!D34</f>
        <v>86.1</v>
      </c>
      <c r="E48" s="103">
        <f>'Passby Data Set 1'!E34</f>
        <v>0.40367327273631209</v>
      </c>
      <c r="F48" s="104">
        <f t="shared" si="0"/>
        <v>407380277.80411243</v>
      </c>
      <c r="G48" s="41">
        <f>'Passby Data Set 1'!B49</f>
        <v>26</v>
      </c>
      <c r="H48" s="102">
        <f>'Passby Data Set 1'!C49</f>
        <v>1.2500000000000004</v>
      </c>
      <c r="I48" s="102">
        <f>'Passby Data Set 1'!D49</f>
        <v>108.6</v>
      </c>
      <c r="J48" s="103">
        <f>'Passby Data Set 1'!E49</f>
        <v>5.3830696078538294</v>
      </c>
      <c r="K48" s="104">
        <f t="shared" si="1"/>
        <v>72443596007.498947</v>
      </c>
      <c r="L48" s="41">
        <f>'Passby Data Set 1'!B64</f>
        <v>41</v>
      </c>
      <c r="M48" s="102">
        <f>'Passby Data Set 1'!C64</f>
        <v>2.0000000000000009</v>
      </c>
      <c r="N48" s="102">
        <f>'Passby Data Set 1'!D64</f>
        <v>107.2</v>
      </c>
      <c r="O48" s="103">
        <f>'Passby Data Set 1'!E64</f>
        <v>4.5817353055355561</v>
      </c>
      <c r="P48" s="104">
        <f t="shared" si="2"/>
        <v>52480746024.977478</v>
      </c>
      <c r="Q48" s="41">
        <f>'Passby Data Set 1'!B79</f>
        <v>56</v>
      </c>
      <c r="R48" s="102">
        <f>'Passby Data Set 1'!C79</f>
        <v>2.7499999999999982</v>
      </c>
      <c r="S48" s="102">
        <f>'Passby Data Set 1'!D79</f>
        <v>92.3</v>
      </c>
      <c r="T48" s="103">
        <f>'Passby Data Set 1'!E79</f>
        <v>0.82419503819466222</v>
      </c>
      <c r="U48" s="104">
        <f t="shared" si="3"/>
        <v>1698243652.4617515</v>
      </c>
      <c r="V48" s="46"/>
    </row>
    <row r="49" spans="1:23" s="40" customFormat="1">
      <c r="A49" s="46"/>
      <c r="B49" s="41">
        <f>'Passby Data Set 1'!B35</f>
        <v>12</v>
      </c>
      <c r="C49" s="102">
        <f>'Passby Data Set 1'!C35</f>
        <v>0.54999999999999993</v>
      </c>
      <c r="D49" s="102">
        <f>'Passby Data Set 1'!D35</f>
        <v>86.6</v>
      </c>
      <c r="E49" s="103">
        <f>'Passby Data Set 1'!E35</f>
        <v>0.427592417900447</v>
      </c>
      <c r="F49" s="104">
        <f t="shared" si="0"/>
        <v>457088189.61487615</v>
      </c>
      <c r="G49" s="41">
        <f>'Passby Data Set 1'!B50</f>
        <v>27</v>
      </c>
      <c r="H49" s="102">
        <f>'Passby Data Set 1'!C50</f>
        <v>1.3000000000000005</v>
      </c>
      <c r="I49" s="102">
        <f>'Passby Data Set 1'!D50</f>
        <v>108.2</v>
      </c>
      <c r="J49" s="103">
        <f>'Passby Data Set 1'!E50</f>
        <v>5.1407915655377359</v>
      </c>
      <c r="K49" s="104">
        <f t="shared" si="1"/>
        <v>66069344800.759804</v>
      </c>
      <c r="L49" s="41">
        <f>'Passby Data Set 1'!B65</f>
        <v>42</v>
      </c>
      <c r="M49" s="102">
        <f>'Passby Data Set 1'!C65</f>
        <v>2.0500000000000007</v>
      </c>
      <c r="N49" s="102">
        <f>'Passby Data Set 1'!D65</f>
        <v>108.7</v>
      </c>
      <c r="O49" s="103">
        <f>'Passby Data Set 1'!E65</f>
        <v>5.4454026161558415</v>
      </c>
      <c r="P49" s="104">
        <f t="shared" si="2"/>
        <v>74131024130.092194</v>
      </c>
      <c r="Q49" s="41">
        <f>'Passby Data Set 1'!B80</f>
        <v>57</v>
      </c>
      <c r="R49" s="102">
        <f>'Passby Data Set 1'!C80</f>
        <v>2.799999999999998</v>
      </c>
      <c r="S49" s="102">
        <f>'Passby Data Set 1'!D80</f>
        <v>91.2</v>
      </c>
      <c r="T49" s="103">
        <f>'Passby Data Set 1'!E80</f>
        <v>0.72615610954020471</v>
      </c>
      <c r="U49" s="104">
        <f t="shared" si="3"/>
        <v>1318256738.5564144</v>
      </c>
      <c r="V49" s="46"/>
    </row>
    <row r="50" spans="1:23" s="40" customFormat="1">
      <c r="A50" s="46"/>
      <c r="B50" s="41">
        <f>'Passby Data Set 1'!B36</f>
        <v>13</v>
      </c>
      <c r="C50" s="102">
        <f>'Passby Data Set 1'!C36</f>
        <v>0.6</v>
      </c>
      <c r="D50" s="102">
        <f>'Passby Data Set 1'!D36</f>
        <v>87.2</v>
      </c>
      <c r="E50" s="103">
        <f>'Passby Data Set 1'!E36</f>
        <v>0.45817353055355509</v>
      </c>
      <c r="F50" s="104">
        <f t="shared" si="0"/>
        <v>524807460.24977362</v>
      </c>
      <c r="G50" s="41">
        <f>'Passby Data Set 1'!B51</f>
        <v>28</v>
      </c>
      <c r="H50" s="102">
        <f>'Passby Data Set 1'!C51</f>
        <v>1.3500000000000005</v>
      </c>
      <c r="I50" s="102">
        <f>'Passby Data Set 1'!D51</f>
        <v>107.5</v>
      </c>
      <c r="J50" s="103">
        <f>'Passby Data Set 1'!E51</f>
        <v>4.7427474113233199</v>
      </c>
      <c r="K50" s="104">
        <f t="shared" si="1"/>
        <v>56234132519.035126</v>
      </c>
      <c r="L50" s="41">
        <f>'Passby Data Set 1'!B66</f>
        <v>43</v>
      </c>
      <c r="M50" s="102">
        <f>'Passby Data Set 1'!C66</f>
        <v>2.1000000000000005</v>
      </c>
      <c r="N50" s="102">
        <f>'Passby Data Set 1'!D66</f>
        <v>110.4</v>
      </c>
      <c r="O50" s="103">
        <f>'Passby Data Set 1'!E66</f>
        <v>6.6226224296518375</v>
      </c>
      <c r="P50" s="104">
        <f t="shared" si="2"/>
        <v>109647819614.319</v>
      </c>
      <c r="Q50" s="41">
        <f>'Passby Data Set 1'!B81</f>
        <v>58</v>
      </c>
      <c r="R50" s="102">
        <f>'Passby Data Set 1'!C81</f>
        <v>2.8499999999999979</v>
      </c>
      <c r="S50" s="102">
        <f>'Passby Data Set 1'!D81</f>
        <v>90.7</v>
      </c>
      <c r="T50" s="103">
        <f>'Passby Data Set 1'!E81</f>
        <v>0.68553557309290147</v>
      </c>
      <c r="U50" s="104">
        <f t="shared" si="3"/>
        <v>1174897554.939532</v>
      </c>
      <c r="V50" s="46"/>
    </row>
    <row r="51" spans="1:23">
      <c r="A51" s="46"/>
      <c r="B51" s="41">
        <f>'Passby Data Set 1'!B37</f>
        <v>14</v>
      </c>
      <c r="C51" s="102">
        <f>'Passby Data Set 1'!C37</f>
        <v>0.65</v>
      </c>
      <c r="D51" s="102">
        <f>'Passby Data Set 1'!D37</f>
        <v>88.9</v>
      </c>
      <c r="E51" s="103">
        <f>'Passby Data Set 1'!E37</f>
        <v>0.5572242337259552</v>
      </c>
      <c r="F51" s="104">
        <f t="shared" si="0"/>
        <v>776247116.62869465</v>
      </c>
      <c r="G51" s="41">
        <f>'Passby Data Set 1'!B52</f>
        <v>29</v>
      </c>
      <c r="H51" s="102">
        <f>'Passby Data Set 1'!C52</f>
        <v>1.4000000000000006</v>
      </c>
      <c r="I51" s="102">
        <f>'Passby Data Set 1'!D52</f>
        <v>107.2</v>
      </c>
      <c r="J51" s="103">
        <f>'Passby Data Set 1'!E52</f>
        <v>4.5817353055355561</v>
      </c>
      <c r="K51" s="104">
        <f t="shared" si="1"/>
        <v>52480746024.977478</v>
      </c>
      <c r="L51" s="41">
        <f>'Passby Data Set 1'!B67</f>
        <v>44</v>
      </c>
      <c r="M51" s="102">
        <f>'Passby Data Set 1'!C67</f>
        <v>2.1500000000000004</v>
      </c>
      <c r="N51" s="102">
        <f>'Passby Data Set 1'!D67</f>
        <v>110.2</v>
      </c>
      <c r="O51" s="103">
        <f>'Passby Data Set 1'!E67</f>
        <v>6.4718731385925699</v>
      </c>
      <c r="P51" s="104">
        <f t="shared" si="2"/>
        <v>104712854805.09009</v>
      </c>
      <c r="Q51" s="41">
        <f>'Passby Data Set 1'!B82</f>
        <v>59</v>
      </c>
      <c r="R51" s="102">
        <f>'Passby Data Set 1'!C82</f>
        <v>2.8999999999999977</v>
      </c>
      <c r="S51" s="102">
        <f>'Passby Data Set 1'!D82</f>
        <v>89.7</v>
      </c>
      <c r="T51" s="103">
        <f>'Passby Data Set 1'!E82</f>
        <v>0.61098422264310359</v>
      </c>
      <c r="U51" s="104">
        <f t="shared" si="3"/>
        <v>933254300.79699385</v>
      </c>
      <c r="V51" s="46"/>
    </row>
    <row r="52" spans="1:23">
      <c r="A52" s="46"/>
      <c r="B52" s="41">
        <f>'Passby Data Set 1'!B38</f>
        <v>15</v>
      </c>
      <c r="C52" s="102">
        <f>'Passby Data Set 1'!C38</f>
        <v>0.70000000000000007</v>
      </c>
      <c r="D52" s="102">
        <f>'Passby Data Set 1'!D38</f>
        <v>90.2</v>
      </c>
      <c r="E52" s="103">
        <f>'Passby Data Set 1'!E38</f>
        <v>0.64718731385925743</v>
      </c>
      <c r="F52" s="104">
        <f t="shared" si="0"/>
        <v>1047128548.0509024</v>
      </c>
      <c r="G52" s="41">
        <f>'Passby Data Set 1'!B53</f>
        <v>30</v>
      </c>
      <c r="H52" s="102">
        <f>'Passby Data Set 1'!C53</f>
        <v>1.4500000000000006</v>
      </c>
      <c r="I52" s="102">
        <f>'Passby Data Set 1'!D53</f>
        <v>108.8</v>
      </c>
      <c r="J52" s="103">
        <f>'Passby Data Set 1'!E53</f>
        <v>5.5084574066763308</v>
      </c>
      <c r="K52" s="104">
        <f t="shared" si="1"/>
        <v>75857757502.918304</v>
      </c>
      <c r="L52" s="41">
        <f>'Passby Data Set 1'!B68</f>
        <v>45</v>
      </c>
      <c r="M52" s="102">
        <f>'Passby Data Set 1'!C68</f>
        <v>2.2000000000000002</v>
      </c>
      <c r="N52" s="102">
        <f>'Passby Data Set 1'!D68</f>
        <v>109.3</v>
      </c>
      <c r="O52" s="103">
        <f>'Passby Data Set 1'!E68</f>
        <v>5.8348540280023409</v>
      </c>
      <c r="P52" s="104">
        <f t="shared" si="2"/>
        <v>85113803820.237839</v>
      </c>
      <c r="Q52" s="41"/>
      <c r="R52" s="102"/>
      <c r="S52" s="102"/>
      <c r="T52" s="103"/>
      <c r="U52" s="104"/>
      <c r="V52" s="46"/>
    </row>
    <row r="53" spans="1:23" s="3" customFormat="1">
      <c r="A53" s="46"/>
      <c r="B53" s="114"/>
      <c r="C53" s="115"/>
      <c r="D53" s="115"/>
      <c r="E53" s="115"/>
      <c r="F53" s="8"/>
      <c r="G53" s="8"/>
      <c r="H53" s="8"/>
      <c r="I53" s="8"/>
      <c r="J53" s="8"/>
      <c r="K53" s="8"/>
      <c r="L53" s="8"/>
      <c r="M53" s="8"/>
      <c r="N53" s="8"/>
      <c r="O53" s="8"/>
      <c r="P53" s="8"/>
      <c r="Q53" s="8"/>
      <c r="R53" s="8"/>
      <c r="S53" s="8"/>
      <c r="T53" s="8"/>
      <c r="U53" s="9"/>
      <c r="V53" s="46"/>
    </row>
    <row r="54" spans="1:23" ht="15" customHeight="1">
      <c r="A54" s="46"/>
      <c r="B54" s="116" t="s">
        <v>234</v>
      </c>
      <c r="C54" s="117"/>
      <c r="D54" s="76"/>
      <c r="E54" s="85"/>
      <c r="F54" s="11"/>
      <c r="G54" s="11"/>
      <c r="H54" s="11"/>
      <c r="I54" s="15">
        <v>23</v>
      </c>
      <c r="J54" s="15" t="s">
        <v>238</v>
      </c>
      <c r="K54" s="11"/>
      <c r="L54" s="11"/>
      <c r="M54" s="11"/>
      <c r="N54" s="11"/>
      <c r="O54" s="11"/>
      <c r="P54" s="11"/>
      <c r="Q54" s="11"/>
      <c r="R54" s="11"/>
      <c r="S54" s="11"/>
      <c r="T54" s="11"/>
      <c r="U54" s="12"/>
      <c r="V54" s="46"/>
    </row>
    <row r="55" spans="1:23" ht="15" customHeight="1">
      <c r="A55" s="46"/>
      <c r="B55" s="116" t="s">
        <v>235</v>
      </c>
      <c r="C55" s="66"/>
      <c r="D55" s="76"/>
      <c r="E55" s="85"/>
      <c r="F55" s="11"/>
      <c r="G55" s="11"/>
      <c r="H55" s="11"/>
      <c r="I55" s="15">
        <v>45</v>
      </c>
      <c r="J55" s="15" t="s">
        <v>239</v>
      </c>
      <c r="K55" s="11" t="s">
        <v>240</v>
      </c>
      <c r="L55" s="11"/>
      <c r="M55" s="11"/>
      <c r="N55" s="118">
        <f>(SUM(K45:K52)+SUM(P38:P52))*$P$32</f>
        <v>76724953826.4375</v>
      </c>
      <c r="O55" s="11"/>
      <c r="P55" s="11"/>
      <c r="Q55" s="11"/>
      <c r="R55" s="11"/>
      <c r="S55" s="11"/>
      <c r="T55" s="11"/>
      <c r="U55" s="12"/>
      <c r="V55" s="46"/>
    </row>
    <row r="56" spans="1:23" s="40" customFormat="1" ht="15" customHeight="1">
      <c r="A56" s="46"/>
      <c r="B56" s="116"/>
      <c r="C56" s="66"/>
      <c r="D56" s="76"/>
      <c r="E56" s="85"/>
      <c r="F56" s="11"/>
      <c r="G56" s="11"/>
      <c r="H56" s="11"/>
      <c r="I56" s="15"/>
      <c r="J56" s="15"/>
      <c r="K56" s="11"/>
      <c r="L56" s="11"/>
      <c r="M56" s="11"/>
      <c r="N56" s="118"/>
      <c r="O56" s="11"/>
      <c r="P56" s="11"/>
      <c r="Q56" s="11"/>
      <c r="R56" s="11"/>
      <c r="S56" s="11"/>
      <c r="T56" s="11"/>
      <c r="U56" s="12"/>
      <c r="V56" s="46"/>
    </row>
    <row r="57" spans="1:23" s="3" customFormat="1">
      <c r="A57" s="46"/>
      <c r="B57" s="116"/>
      <c r="C57" s="66"/>
      <c r="D57" s="76"/>
      <c r="E57" s="85"/>
      <c r="F57" s="11"/>
      <c r="G57" s="11"/>
      <c r="H57" s="11"/>
      <c r="I57" s="11"/>
      <c r="J57" s="11"/>
      <c r="K57" s="11"/>
      <c r="L57" s="11"/>
      <c r="M57" s="11"/>
      <c r="N57" s="11"/>
      <c r="O57" s="11"/>
      <c r="P57" s="11"/>
      <c r="Q57" s="11"/>
      <c r="R57" s="11"/>
      <c r="S57" s="11"/>
      <c r="T57" s="11"/>
      <c r="U57" s="12"/>
      <c r="V57" s="46"/>
    </row>
    <row r="58" spans="1:23" ht="16.5">
      <c r="A58" s="46"/>
      <c r="B58" s="116" t="s">
        <v>241</v>
      </c>
      <c r="C58" s="66"/>
      <c r="D58" s="76"/>
      <c r="E58" s="85"/>
      <c r="F58" s="158" t="s">
        <v>291</v>
      </c>
      <c r="G58" s="147">
        <f>10*LOG10((1/D15)*N55)</f>
        <v>107.62196642780415</v>
      </c>
      <c r="H58" s="113" t="s">
        <v>28</v>
      </c>
      <c r="I58" s="11"/>
      <c r="J58" s="11"/>
      <c r="K58" s="696" t="s">
        <v>894</v>
      </c>
      <c r="L58" s="11"/>
      <c r="M58" s="11"/>
      <c r="N58" s="11"/>
      <c r="O58" s="11"/>
      <c r="P58" s="11"/>
      <c r="Q58" s="11"/>
      <c r="R58" s="11"/>
      <c r="S58" s="11"/>
      <c r="T58" s="11"/>
      <c r="U58" s="12"/>
      <c r="V58" s="46"/>
    </row>
    <row r="59" spans="1:23">
      <c r="A59" s="46"/>
      <c r="B59" s="116"/>
      <c r="C59" s="66"/>
      <c r="D59" s="66"/>
      <c r="E59" s="85"/>
      <c r="F59" s="11"/>
      <c r="G59" s="11"/>
      <c r="H59" s="11"/>
      <c r="I59" s="11"/>
      <c r="J59" s="11"/>
      <c r="K59" s="11"/>
      <c r="L59" s="11"/>
      <c r="M59" s="11"/>
      <c r="N59" s="11"/>
      <c r="O59" s="11"/>
      <c r="P59" s="11"/>
      <c r="Q59" s="11"/>
      <c r="R59" s="11"/>
      <c r="S59" s="11"/>
      <c r="T59" s="11"/>
      <c r="U59" s="12"/>
      <c r="V59" s="46"/>
    </row>
    <row r="60" spans="1:23">
      <c r="A60" s="46"/>
      <c r="B60" s="119"/>
      <c r="C60" s="120"/>
      <c r="D60" s="121"/>
      <c r="E60" s="122"/>
      <c r="F60" s="18"/>
      <c r="G60" s="18"/>
      <c r="H60" s="18"/>
      <c r="I60" s="18"/>
      <c r="J60" s="18"/>
      <c r="K60" s="18"/>
      <c r="L60" s="18"/>
      <c r="M60" s="18"/>
      <c r="N60" s="18"/>
      <c r="O60" s="18"/>
      <c r="P60" s="18"/>
      <c r="Q60" s="18"/>
      <c r="R60" s="18"/>
      <c r="S60" s="18"/>
      <c r="T60" s="18"/>
      <c r="U60" s="19"/>
      <c r="V60" s="46"/>
    </row>
    <row r="61" spans="1:23">
      <c r="A61" s="46"/>
      <c r="B61" s="79"/>
      <c r="C61" s="82"/>
      <c r="D61" s="82"/>
      <c r="E61" s="85"/>
      <c r="F61" s="11"/>
      <c r="G61" s="46"/>
      <c r="H61" s="46"/>
      <c r="I61" s="46"/>
      <c r="J61" s="46"/>
      <c r="K61" s="46"/>
      <c r="L61" s="46"/>
      <c r="M61" s="46"/>
      <c r="N61" s="46"/>
      <c r="O61" s="46"/>
      <c r="P61" s="46"/>
      <c r="Q61" s="46"/>
      <c r="R61" s="46"/>
      <c r="S61" s="46"/>
      <c r="T61" s="46"/>
      <c r="U61" s="46"/>
      <c r="V61" s="46"/>
      <c r="W61" s="46"/>
    </row>
    <row r="62" spans="1:23">
      <c r="A62" s="46"/>
      <c r="B62" s="132" t="s">
        <v>255</v>
      </c>
      <c r="C62" s="133"/>
      <c r="D62" s="133"/>
      <c r="E62" s="134"/>
      <c r="F62" s="8"/>
      <c r="G62" s="8"/>
      <c r="H62" s="8"/>
      <c r="I62" s="8"/>
      <c r="J62" s="8"/>
      <c r="K62" s="8"/>
      <c r="L62" s="8"/>
      <c r="M62" s="8"/>
      <c r="N62" s="8"/>
      <c r="O62" s="8"/>
      <c r="P62" s="8" t="s">
        <v>452</v>
      </c>
      <c r="Q62" s="8"/>
      <c r="R62" s="8"/>
      <c r="S62" s="8"/>
      <c r="T62" s="8"/>
      <c r="U62" s="9"/>
      <c r="V62" s="46"/>
    </row>
    <row r="63" spans="1:23" ht="24.5" customHeight="1">
      <c r="A63" s="46"/>
      <c r="B63" s="116"/>
      <c r="C63" s="66"/>
      <c r="D63" s="66"/>
      <c r="E63" s="404" t="s">
        <v>40</v>
      </c>
      <c r="F63" s="404" t="s">
        <v>41</v>
      </c>
      <c r="G63" s="398" t="s">
        <v>256</v>
      </c>
      <c r="H63" s="455"/>
      <c r="I63" s="455" t="s">
        <v>267</v>
      </c>
      <c r="J63" s="457"/>
      <c r="K63" s="454"/>
      <c r="L63" s="505"/>
      <c r="M63" s="504" t="s">
        <v>264</v>
      </c>
      <c r="N63" s="506"/>
      <c r="O63" s="11"/>
      <c r="P63" s="73" t="s">
        <v>716</v>
      </c>
      <c r="Q63" s="220"/>
      <c r="R63" s="220"/>
      <c r="S63" s="220"/>
      <c r="T63" s="220"/>
      <c r="U63" s="12"/>
      <c r="V63" s="46"/>
    </row>
    <row r="64" spans="1:23" ht="20.149999999999999" customHeight="1">
      <c r="A64" s="46"/>
      <c r="B64" s="116"/>
      <c r="C64" s="135"/>
      <c r="D64" s="66"/>
      <c r="E64" s="471"/>
      <c r="F64" s="471"/>
      <c r="G64" s="471"/>
      <c r="H64" s="167" t="s">
        <v>257</v>
      </c>
      <c r="I64" s="469" t="s">
        <v>258</v>
      </c>
      <c r="J64" s="167" t="s">
        <v>259</v>
      </c>
      <c r="K64" s="393" t="s">
        <v>260</v>
      </c>
      <c r="L64" s="429"/>
      <c r="M64" s="503"/>
      <c r="N64" s="430"/>
      <c r="O64" s="11"/>
      <c r="P64" s="73" t="s">
        <v>717</v>
      </c>
      <c r="Q64" s="220"/>
      <c r="R64" s="220"/>
      <c r="S64" s="220"/>
      <c r="T64" s="220"/>
      <c r="U64" s="12"/>
      <c r="V64" s="46"/>
    </row>
    <row r="65" spans="1:22">
      <c r="A65" s="46"/>
      <c r="B65" s="116"/>
      <c r="C65" s="66"/>
      <c r="D65" s="66"/>
      <c r="E65" s="69">
        <v>1</v>
      </c>
      <c r="F65" s="96">
        <v>7.5</v>
      </c>
      <c r="G65" s="96">
        <v>1.2</v>
      </c>
      <c r="H65" s="96"/>
      <c r="I65" s="96" t="s">
        <v>263</v>
      </c>
      <c r="J65" s="96"/>
      <c r="K65" s="96"/>
      <c r="L65" s="694" t="s">
        <v>268</v>
      </c>
      <c r="M65" s="695"/>
      <c r="N65" s="649"/>
      <c r="O65" s="11"/>
      <c r="P65" s="374" t="s">
        <v>718</v>
      </c>
      <c r="Q65" s="215"/>
      <c r="R65" s="215"/>
      <c r="S65" s="215"/>
      <c r="T65" s="215"/>
      <c r="U65" s="12"/>
      <c r="V65" s="46"/>
    </row>
    <row r="66" spans="1:22">
      <c r="A66" s="46"/>
      <c r="B66" s="116"/>
      <c r="C66" s="66"/>
      <c r="D66" s="66"/>
      <c r="E66" s="69">
        <v>2</v>
      </c>
      <c r="F66" s="96">
        <v>7.5</v>
      </c>
      <c r="G66" s="96">
        <v>3.5</v>
      </c>
      <c r="H66" s="96"/>
      <c r="I66" s="96" t="s">
        <v>263</v>
      </c>
      <c r="J66" s="96"/>
      <c r="K66" s="96"/>
      <c r="L66" s="508" t="s">
        <v>269</v>
      </c>
      <c r="M66" s="508"/>
      <c r="N66" s="508"/>
      <c r="O66" s="11"/>
      <c r="P66" s="376" t="s">
        <v>720</v>
      </c>
      <c r="Q66" s="215"/>
      <c r="R66" s="215"/>
      <c r="S66" s="215"/>
      <c r="T66" s="215"/>
      <c r="U66" s="12"/>
      <c r="V66" s="46"/>
    </row>
    <row r="67" spans="1:22">
      <c r="A67" s="46"/>
      <c r="B67" s="116"/>
      <c r="C67" s="66"/>
      <c r="D67" s="66"/>
      <c r="E67" s="69">
        <v>3</v>
      </c>
      <c r="F67" s="96">
        <v>25</v>
      </c>
      <c r="G67" s="96">
        <v>3.5</v>
      </c>
      <c r="H67" s="96"/>
      <c r="I67" s="96" t="s">
        <v>262</v>
      </c>
      <c r="J67" s="96"/>
      <c r="K67" s="281" t="s">
        <v>261</v>
      </c>
      <c r="L67" s="508" t="s">
        <v>265</v>
      </c>
      <c r="M67" s="508"/>
      <c r="N67" s="508"/>
      <c r="O67" s="11"/>
      <c r="P67" s="375" t="s">
        <v>719</v>
      </c>
      <c r="Q67" s="215"/>
      <c r="R67" s="215"/>
      <c r="S67" s="215"/>
      <c r="T67" s="215"/>
      <c r="U67" s="12"/>
      <c r="V67" s="46"/>
    </row>
    <row r="68" spans="1:22" s="3" customFormat="1">
      <c r="A68" s="46"/>
      <c r="B68" s="116"/>
      <c r="C68" s="66"/>
      <c r="D68" s="66"/>
      <c r="E68" s="69">
        <v>4</v>
      </c>
      <c r="F68" s="96">
        <v>30</v>
      </c>
      <c r="G68" s="96">
        <v>1.2</v>
      </c>
      <c r="H68" s="96" t="s">
        <v>261</v>
      </c>
      <c r="I68" s="96"/>
      <c r="J68" s="96" t="s">
        <v>261</v>
      </c>
      <c r="K68" s="96"/>
      <c r="L68" s="508" t="s">
        <v>436</v>
      </c>
      <c r="M68" s="508"/>
      <c r="N68" s="508"/>
      <c r="O68" s="11"/>
      <c r="P68" s="374" t="s">
        <v>721</v>
      </c>
      <c r="Q68" s="213"/>
      <c r="R68" s="213"/>
      <c r="S68" s="213"/>
      <c r="T68" s="213"/>
      <c r="U68" s="12"/>
      <c r="V68" s="46"/>
    </row>
    <row r="69" spans="1:22" ht="19.5" customHeight="1">
      <c r="A69" s="46"/>
      <c r="B69" s="116"/>
      <c r="C69" s="136" t="s">
        <v>714</v>
      </c>
      <c r="D69" s="66"/>
      <c r="E69" s="109"/>
      <c r="F69" s="125"/>
      <c r="G69" s="125"/>
      <c r="H69" s="11"/>
      <c r="I69" s="11"/>
      <c r="J69" s="11"/>
      <c r="K69" s="11"/>
      <c r="L69" s="11"/>
      <c r="M69" s="11"/>
      <c r="N69" s="11"/>
      <c r="O69" s="11"/>
      <c r="P69" s="376" t="s">
        <v>722</v>
      </c>
      <c r="Q69" s="11"/>
      <c r="R69" s="11"/>
      <c r="S69" s="11"/>
      <c r="T69" s="11"/>
      <c r="U69" s="12"/>
      <c r="V69" s="46"/>
    </row>
    <row r="70" spans="1:22" ht="14.5" customHeight="1">
      <c r="A70" s="46"/>
      <c r="B70" s="116"/>
      <c r="C70" s="136" t="s">
        <v>715</v>
      </c>
      <c r="D70" s="66"/>
      <c r="E70" s="109"/>
      <c r="F70" s="11"/>
      <c r="G70" s="11"/>
      <c r="H70" s="11"/>
      <c r="I70" s="11"/>
      <c r="J70" s="11"/>
      <c r="K70" s="11"/>
      <c r="L70" s="11"/>
      <c r="M70" s="11"/>
      <c r="N70" s="11"/>
      <c r="O70" s="11"/>
      <c r="P70" s="376" t="s">
        <v>723</v>
      </c>
      <c r="Q70" s="11"/>
      <c r="R70" s="11"/>
      <c r="S70" s="11"/>
      <c r="T70" s="11"/>
      <c r="U70" s="12"/>
      <c r="V70" s="46"/>
    </row>
    <row r="71" spans="1:22" s="40" customFormat="1" ht="34" customHeight="1">
      <c r="A71" s="46"/>
      <c r="B71" s="116"/>
      <c r="C71" s="66"/>
      <c r="D71" s="66"/>
      <c r="E71" s="495" t="s">
        <v>40</v>
      </c>
      <c r="F71" s="495" t="s">
        <v>41</v>
      </c>
      <c r="G71" s="495" t="s">
        <v>256</v>
      </c>
      <c r="H71" s="674" t="s">
        <v>743</v>
      </c>
      <c r="I71" s="497"/>
      <c r="J71" s="705" t="s">
        <v>744</v>
      </c>
      <c r="K71" s="415"/>
      <c r="L71" s="11"/>
      <c r="M71" s="11"/>
      <c r="N71" s="11"/>
      <c r="O71" s="11"/>
      <c r="P71" s="11"/>
      <c r="Q71" s="515" t="s">
        <v>891</v>
      </c>
      <c r="R71" s="441"/>
      <c r="S71" s="513"/>
      <c r="T71" s="514"/>
      <c r="U71" s="12"/>
      <c r="V71" s="46"/>
    </row>
    <row r="72" spans="1:22" s="40" customFormat="1" ht="10.5" customHeight="1">
      <c r="A72" s="46"/>
      <c r="B72" s="116"/>
      <c r="C72" s="66"/>
      <c r="D72" s="66"/>
      <c r="E72" s="512"/>
      <c r="F72" s="512"/>
      <c r="G72" s="471"/>
      <c r="H72" s="624"/>
      <c r="I72" s="510"/>
      <c r="J72" s="624"/>
      <c r="K72" s="510"/>
      <c r="L72" s="11"/>
      <c r="M72" s="123" t="s">
        <v>271</v>
      </c>
      <c r="N72" s="11"/>
      <c r="O72" s="11"/>
      <c r="P72" s="11"/>
      <c r="Q72" s="609" t="s">
        <v>892</v>
      </c>
      <c r="R72" s="692"/>
      <c r="S72" s="511"/>
      <c r="T72" s="516"/>
      <c r="U72" s="12"/>
      <c r="V72" s="46"/>
    </row>
    <row r="73" spans="1:22" s="40" customFormat="1" ht="16" customHeight="1">
      <c r="A73" s="46"/>
      <c r="B73" s="116"/>
      <c r="C73" s="66"/>
      <c r="D73" s="66"/>
      <c r="E73" s="587">
        <v>1</v>
      </c>
      <c r="F73" s="502">
        <v>7.5</v>
      </c>
      <c r="G73" s="697">
        <v>1.2</v>
      </c>
      <c r="H73" s="700"/>
      <c r="I73" s="702">
        <f>I74*Q124</f>
        <v>105.90173519619091</v>
      </c>
      <c r="J73" s="700"/>
      <c r="K73" s="704">
        <f>0.00002*10^(I73/20)</f>
        <v>3.9456336200067539</v>
      </c>
      <c r="L73" s="11"/>
      <c r="M73" s="11" t="s">
        <v>270</v>
      </c>
      <c r="N73" s="11"/>
      <c r="O73" s="11"/>
      <c r="P73" s="11"/>
      <c r="Q73" s="398" t="s">
        <v>399</v>
      </c>
      <c r="R73" s="693" t="s">
        <v>745</v>
      </c>
      <c r="S73" s="455"/>
      <c r="T73" s="516"/>
      <c r="U73" s="12"/>
      <c r="V73" s="46"/>
    </row>
    <row r="74" spans="1:22" s="40" customFormat="1">
      <c r="A74" s="46"/>
      <c r="B74" s="116"/>
      <c r="C74" s="66"/>
      <c r="D74" s="66"/>
      <c r="E74" s="69">
        <v>2</v>
      </c>
      <c r="F74" s="96">
        <v>7.5</v>
      </c>
      <c r="G74" s="698">
        <v>3.5</v>
      </c>
      <c r="H74" s="700"/>
      <c r="I74" s="703">
        <f>G58</f>
        <v>107.62196642780415</v>
      </c>
      <c r="J74" s="700"/>
      <c r="K74" s="704">
        <f>0.00002*10^(I74/20)</f>
        <v>4.8098143868378394</v>
      </c>
      <c r="L74" s="11"/>
      <c r="M74" s="11"/>
      <c r="N74" s="11"/>
      <c r="O74" s="11"/>
      <c r="P74" s="11"/>
      <c r="Q74" s="471"/>
      <c r="R74" s="167" t="s">
        <v>400</v>
      </c>
      <c r="S74" s="469" t="s">
        <v>401</v>
      </c>
      <c r="T74" s="167" t="s">
        <v>402</v>
      </c>
      <c r="U74" s="12"/>
      <c r="V74" s="46"/>
    </row>
    <row r="75" spans="1:22">
      <c r="A75" s="46"/>
      <c r="B75" s="116"/>
      <c r="C75" s="66"/>
      <c r="D75" s="66"/>
      <c r="E75" s="69">
        <v>3</v>
      </c>
      <c r="F75" s="96">
        <v>25</v>
      </c>
      <c r="G75" s="698">
        <v>3.5</v>
      </c>
      <c r="H75" s="701"/>
      <c r="I75" s="703">
        <f>I74*S124</f>
        <v>94.720232190704749</v>
      </c>
      <c r="J75" s="700"/>
      <c r="K75" s="704">
        <f>0.00002*10^(I75/20)</f>
        <v>1.0890344173014608</v>
      </c>
      <c r="L75" s="11"/>
      <c r="M75" s="112" t="s">
        <v>724</v>
      </c>
      <c r="N75" s="11"/>
      <c r="O75" s="11"/>
      <c r="P75" s="11"/>
      <c r="Q75" s="178">
        <v>271</v>
      </c>
      <c r="R75" s="179">
        <v>93.2</v>
      </c>
      <c r="S75" s="179">
        <v>95.8</v>
      </c>
      <c r="T75" s="179">
        <v>82</v>
      </c>
      <c r="U75" s="12"/>
      <c r="V75" s="46"/>
    </row>
    <row r="76" spans="1:22" s="40" customFormat="1">
      <c r="A76" s="46"/>
      <c r="B76" s="116"/>
      <c r="C76" s="66"/>
      <c r="D76" s="66"/>
      <c r="E76" s="69">
        <v>4</v>
      </c>
      <c r="F76" s="96">
        <v>30</v>
      </c>
      <c r="G76" s="698">
        <v>1.2</v>
      </c>
      <c r="H76" s="701"/>
      <c r="I76" s="703">
        <f>I75-10*LOG10(F76/F75)</f>
        <v>93.928419730228498</v>
      </c>
      <c r="J76" s="699"/>
      <c r="K76" s="704">
        <f>0.00002*10^(I76/20)</f>
        <v>0.99414786042584058</v>
      </c>
      <c r="L76" s="11"/>
      <c r="M76" s="11" t="s">
        <v>725</v>
      </c>
      <c r="N76" s="11"/>
      <c r="O76" s="11"/>
      <c r="P76" s="11"/>
      <c r="Q76" s="178">
        <v>341</v>
      </c>
      <c r="R76" s="179">
        <v>96.5</v>
      </c>
      <c r="S76" s="179">
        <v>98</v>
      </c>
      <c r="T76" s="179">
        <v>85.5</v>
      </c>
      <c r="U76" s="12"/>
      <c r="V76" s="46"/>
    </row>
    <row r="77" spans="1:22">
      <c r="A77" s="46"/>
      <c r="B77" s="116"/>
      <c r="C77" s="76"/>
      <c r="D77" s="66"/>
      <c r="E77" s="737" t="s">
        <v>86</v>
      </c>
      <c r="F77" s="11"/>
      <c r="G77" s="11"/>
      <c r="H77" s="11"/>
      <c r="I77" s="11"/>
      <c r="J77" s="11"/>
      <c r="K77" s="11"/>
      <c r="L77" s="11"/>
      <c r="M77" s="11" t="s">
        <v>726</v>
      </c>
      <c r="N77" s="11"/>
      <c r="O77" s="11"/>
      <c r="P77" s="11"/>
      <c r="Q77" s="178">
        <v>386</v>
      </c>
      <c r="R77" s="179">
        <v>98.5</v>
      </c>
      <c r="S77" s="179">
        <v>100.1</v>
      </c>
      <c r="T77" s="179">
        <v>88.1</v>
      </c>
      <c r="U77" s="12"/>
      <c r="V77" s="46"/>
    </row>
    <row r="78" spans="1:22" s="40" customFormat="1">
      <c r="A78" s="46"/>
      <c r="B78" s="119"/>
      <c r="C78" s="120"/>
      <c r="D78" s="137"/>
      <c r="E78" s="138"/>
      <c r="F78" s="18"/>
      <c r="G78" s="18"/>
      <c r="H78" s="18"/>
      <c r="I78" s="18"/>
      <c r="J78" s="18"/>
      <c r="K78" s="18"/>
      <c r="L78" s="18"/>
      <c r="M78" s="18" t="s">
        <v>727</v>
      </c>
      <c r="N78" s="18"/>
      <c r="O78" s="18"/>
      <c r="P78" s="18"/>
      <c r="Q78" s="18"/>
      <c r="R78" s="18"/>
      <c r="S78" s="18"/>
      <c r="T78" s="18"/>
      <c r="U78" s="19"/>
      <c r="V78" s="46"/>
    </row>
    <row r="79" spans="1:22" s="40" customFormat="1">
      <c r="A79" s="46"/>
      <c r="B79" s="76"/>
      <c r="C79" s="76"/>
      <c r="D79" s="66"/>
      <c r="E79" s="139"/>
      <c r="F79" s="11"/>
      <c r="G79" s="11"/>
      <c r="H79" s="11"/>
      <c r="I79" s="11"/>
      <c r="J79" s="11"/>
      <c r="K79" s="11"/>
      <c r="L79" s="11"/>
      <c r="M79" s="11"/>
      <c r="N79" s="11"/>
      <c r="O79" s="11"/>
      <c r="P79" s="11"/>
      <c r="Q79" s="11"/>
      <c r="R79" s="11"/>
      <c r="S79" s="11"/>
      <c r="T79" s="11"/>
      <c r="U79" s="11"/>
      <c r="V79" s="46"/>
    </row>
    <row r="80" spans="1:22" s="40" customFormat="1">
      <c r="A80" s="46"/>
      <c r="B80" s="132" t="s">
        <v>272</v>
      </c>
      <c r="C80" s="140"/>
      <c r="D80" s="133"/>
      <c r="E80" s="141"/>
      <c r="F80" s="8"/>
      <c r="G80" s="8"/>
      <c r="H80" s="8"/>
      <c r="I80" s="8"/>
      <c r="J80" s="8"/>
      <c r="K80" s="8"/>
      <c r="L80" s="8"/>
      <c r="M80" s="8"/>
      <c r="N80" s="8"/>
      <c r="O80" s="8"/>
      <c r="P80" s="8"/>
      <c r="Q80" s="8"/>
      <c r="R80" s="8"/>
      <c r="S80" s="8"/>
      <c r="T80" s="8"/>
      <c r="U80" s="9"/>
      <c r="V80" s="46"/>
    </row>
    <row r="81" spans="1:22" s="40" customFormat="1" ht="16.5">
      <c r="A81" s="46"/>
      <c r="B81" s="142" t="s">
        <v>282</v>
      </c>
      <c r="C81" s="76"/>
      <c r="D81" s="66"/>
      <c r="E81" s="139"/>
      <c r="F81" s="11"/>
      <c r="G81" s="11"/>
      <c r="H81" s="158" t="s">
        <v>710</v>
      </c>
      <c r="I81" s="11" t="s">
        <v>737</v>
      </c>
      <c r="J81" s="11"/>
      <c r="K81" s="11"/>
      <c r="L81" s="11"/>
      <c r="M81" s="11"/>
      <c r="N81" s="11"/>
      <c r="O81" s="11"/>
      <c r="P81" s="11"/>
      <c r="Q81" s="11"/>
      <c r="R81" s="11"/>
      <c r="S81" s="11"/>
      <c r="T81" s="11"/>
      <c r="U81" s="12"/>
      <c r="V81" s="46"/>
    </row>
    <row r="82" spans="1:22" s="40" customFormat="1" ht="16.5">
      <c r="A82" s="46"/>
      <c r="B82" s="145" t="s">
        <v>710</v>
      </c>
      <c r="C82" s="158"/>
      <c r="D82" s="159">
        <f>MAX('Passby Data Set 1'!D24:D82)</f>
        <v>110.4</v>
      </c>
      <c r="E82" s="143" t="s">
        <v>28</v>
      </c>
      <c r="F82" s="11" t="s">
        <v>273</v>
      </c>
      <c r="G82" s="11"/>
      <c r="H82" s="15">
        <v>43</v>
      </c>
      <c r="I82" s="11" t="s">
        <v>812</v>
      </c>
      <c r="K82" s="107">
        <f>'Passby Data Set 1'!C66</f>
        <v>2.1000000000000005</v>
      </c>
      <c r="L82" s="11" t="s">
        <v>237</v>
      </c>
      <c r="M82" s="11"/>
      <c r="N82" s="11"/>
      <c r="O82" s="11"/>
      <c r="P82" s="11"/>
      <c r="Q82" s="11"/>
      <c r="R82" s="11"/>
      <c r="S82" s="11"/>
      <c r="T82" s="11"/>
      <c r="U82" s="12"/>
      <c r="V82" s="46"/>
    </row>
    <row r="83" spans="1:22" s="40" customFormat="1">
      <c r="A83" s="46"/>
      <c r="B83" s="116"/>
      <c r="C83" s="76"/>
      <c r="D83" s="66"/>
      <c r="E83" s="143"/>
      <c r="F83" s="11"/>
      <c r="G83" s="11"/>
      <c r="H83" s="15"/>
      <c r="I83" s="11"/>
      <c r="J83" s="107"/>
      <c r="K83" s="11"/>
      <c r="L83" s="11"/>
      <c r="M83" s="11"/>
      <c r="N83" s="11"/>
      <c r="O83" s="11"/>
      <c r="P83" s="11"/>
      <c r="Q83" s="11"/>
      <c r="R83" s="11"/>
      <c r="S83" s="11"/>
      <c r="T83" s="11"/>
      <c r="U83" s="12"/>
      <c r="V83" s="46"/>
    </row>
    <row r="84" spans="1:22" s="40" customFormat="1" ht="16.5">
      <c r="A84" s="46"/>
      <c r="B84" s="144" t="s">
        <v>274</v>
      </c>
      <c r="C84" s="76"/>
      <c r="D84" s="66"/>
      <c r="E84" s="143"/>
      <c r="F84" s="11"/>
      <c r="G84" s="11"/>
      <c r="H84" s="15"/>
      <c r="I84" s="11"/>
      <c r="J84" s="107"/>
      <c r="K84" s="11"/>
      <c r="L84" s="11"/>
      <c r="M84" s="11"/>
      <c r="N84" s="11"/>
      <c r="O84" s="11"/>
      <c r="P84" s="11"/>
      <c r="Q84" s="11"/>
      <c r="R84" s="11"/>
      <c r="S84" s="11"/>
      <c r="T84" s="11"/>
      <c r="U84" s="12"/>
      <c r="V84" s="46"/>
    </row>
    <row r="85" spans="1:22" s="40" customFormat="1">
      <c r="A85" s="46"/>
      <c r="B85" s="145"/>
      <c r="C85" s="76"/>
      <c r="D85" s="66"/>
      <c r="E85" s="139"/>
      <c r="F85" s="11"/>
      <c r="G85" s="11"/>
      <c r="H85" s="11"/>
      <c r="I85" s="11"/>
      <c r="J85" s="11"/>
      <c r="K85" s="11"/>
      <c r="L85" s="11"/>
      <c r="M85" s="11" t="s">
        <v>190</v>
      </c>
      <c r="N85" s="11"/>
      <c r="O85" s="11"/>
      <c r="P85" s="11"/>
      <c r="Q85" s="11"/>
      <c r="R85" s="11"/>
      <c r="S85" s="11"/>
      <c r="T85" s="11"/>
      <c r="U85" s="12"/>
      <c r="V85" s="46"/>
    </row>
    <row r="86" spans="1:22" s="40" customFormat="1" ht="16.5">
      <c r="A86" s="46"/>
      <c r="B86" s="116" t="s">
        <v>275</v>
      </c>
      <c r="C86" s="76"/>
      <c r="D86" s="66"/>
      <c r="E86" s="139"/>
      <c r="F86" s="11"/>
      <c r="G86" s="11"/>
      <c r="H86" s="11"/>
      <c r="I86" s="11"/>
      <c r="J86" s="11"/>
      <c r="K86" s="11"/>
      <c r="L86" s="11" t="s">
        <v>278</v>
      </c>
      <c r="M86" s="11"/>
      <c r="N86" s="11"/>
      <c r="O86" s="11"/>
      <c r="P86" s="11"/>
      <c r="Q86" s="11"/>
      <c r="R86" s="11"/>
      <c r="S86" s="11"/>
      <c r="T86" s="11"/>
      <c r="U86" s="12"/>
      <c r="V86" s="46"/>
    </row>
    <row r="87" spans="1:22" s="40" customFormat="1">
      <c r="A87" s="46"/>
      <c r="B87" s="116"/>
      <c r="C87" s="76"/>
      <c r="D87" s="66"/>
      <c r="E87" s="139"/>
      <c r="F87" s="11"/>
      <c r="G87" s="11"/>
      <c r="H87" s="11"/>
      <c r="I87" s="11"/>
      <c r="J87" s="11"/>
      <c r="K87" s="11"/>
      <c r="L87" s="11" t="s">
        <v>279</v>
      </c>
      <c r="M87" s="11"/>
      <c r="N87" s="11"/>
      <c r="O87" s="11"/>
      <c r="P87" s="11"/>
      <c r="Q87" s="11"/>
      <c r="R87" s="11"/>
      <c r="S87" s="11"/>
      <c r="T87" s="11"/>
      <c r="U87" s="12"/>
      <c r="V87" s="46"/>
    </row>
    <row r="88" spans="1:22" s="40" customFormat="1" ht="16.5">
      <c r="A88" s="46"/>
      <c r="B88" s="116" t="s">
        <v>276</v>
      </c>
      <c r="C88" s="76"/>
      <c r="D88" s="66"/>
      <c r="E88" s="139"/>
      <c r="F88" s="15">
        <v>1.2</v>
      </c>
      <c r="G88" s="11" t="s">
        <v>277</v>
      </c>
      <c r="H88" s="11">
        <v>2.2000000000000002</v>
      </c>
      <c r="I88" s="11"/>
      <c r="J88" s="112" t="s">
        <v>284</v>
      </c>
      <c r="K88" s="112"/>
      <c r="L88" s="147">
        <f t="array" ref="L88">10*LOG(AVERAGE(10^('Passby Data Set 1'!D48:'Passby Data Set 1'!D68/10)))</f>
        <v>108.40840240347804</v>
      </c>
      <c r="M88" s="113" t="s">
        <v>28</v>
      </c>
      <c r="N88" s="11"/>
      <c r="O88" s="11"/>
      <c r="P88" s="11"/>
      <c r="Q88" s="11"/>
      <c r="R88" s="11"/>
      <c r="S88" s="11"/>
      <c r="T88" s="11"/>
      <c r="U88" s="12"/>
      <c r="V88" s="46"/>
    </row>
    <row r="89" spans="1:22" s="40" customFormat="1" ht="16.5">
      <c r="A89" s="46"/>
      <c r="B89" s="116" t="s">
        <v>280</v>
      </c>
      <c r="C89" s="76"/>
      <c r="D89" s="66"/>
      <c r="E89" s="139"/>
      <c r="F89" s="11"/>
      <c r="G89" s="11"/>
      <c r="H89" s="11"/>
      <c r="I89" s="11"/>
      <c r="J89" s="11"/>
      <c r="K89" s="11"/>
      <c r="L89" s="11"/>
      <c r="M89" s="11"/>
      <c r="N89" s="11"/>
      <c r="O89" s="11"/>
      <c r="P89" s="11"/>
      <c r="Q89" s="11"/>
      <c r="R89" s="11"/>
      <c r="S89" s="11"/>
      <c r="T89" s="11"/>
      <c r="U89" s="12"/>
      <c r="V89" s="46"/>
    </row>
    <row r="90" spans="1:22" s="40" customFormat="1" ht="16.5">
      <c r="A90" s="46"/>
      <c r="B90" s="119" t="s">
        <v>281</v>
      </c>
      <c r="C90" s="120"/>
      <c r="D90" s="137"/>
      <c r="E90" s="138"/>
      <c r="F90" s="18"/>
      <c r="G90" s="146">
        <v>2.1</v>
      </c>
      <c r="H90" s="108" t="s">
        <v>277</v>
      </c>
      <c r="I90" s="108">
        <v>2.2250000000000001</v>
      </c>
      <c r="J90" s="18"/>
      <c r="K90" s="148" t="s">
        <v>285</v>
      </c>
      <c r="L90" s="149">
        <f t="array" ref="L90">10*LOG(AVERAGE(10^('Passby Data Set 1'!D66:'Passby Data Set 1'!D69/10)))</f>
        <v>109.47468725819161</v>
      </c>
      <c r="M90" s="150" t="s">
        <v>28</v>
      </c>
      <c r="N90" s="18"/>
      <c r="O90" s="18"/>
      <c r="P90" s="18"/>
      <c r="Q90" s="18"/>
      <c r="R90" s="18"/>
      <c r="S90" s="18"/>
      <c r="T90" s="18"/>
      <c r="U90" s="19"/>
      <c r="V90" s="46"/>
    </row>
    <row r="91" spans="1:22" s="40" customFormat="1">
      <c r="A91" s="46"/>
      <c r="B91" s="79"/>
      <c r="C91" s="79"/>
      <c r="D91" s="82"/>
      <c r="E91" s="126"/>
      <c r="F91" s="46"/>
      <c r="G91" s="46"/>
      <c r="H91" s="46"/>
      <c r="I91" s="46"/>
      <c r="J91" s="46"/>
      <c r="K91" s="46"/>
      <c r="L91" s="46"/>
      <c r="M91" s="46"/>
      <c r="N91" s="46"/>
      <c r="O91" s="46"/>
      <c r="P91" s="46"/>
      <c r="Q91" s="46"/>
      <c r="R91" s="46"/>
      <c r="S91" s="46"/>
      <c r="T91" s="46"/>
      <c r="U91" s="46"/>
      <c r="V91" s="46"/>
    </row>
    <row r="92" spans="1:22" s="40" customFormat="1">
      <c r="A92" s="46"/>
      <c r="B92" s="132" t="s">
        <v>286</v>
      </c>
      <c r="C92" s="140"/>
      <c r="D92" s="133"/>
      <c r="E92" s="141"/>
      <c r="F92" s="8"/>
      <c r="G92" s="8"/>
      <c r="H92" s="8"/>
      <c r="I92" s="8"/>
      <c r="J92" s="8"/>
      <c r="K92" s="8"/>
      <c r="L92" s="8"/>
      <c r="M92" s="8"/>
      <c r="N92" s="8"/>
      <c r="O92" s="8"/>
      <c r="P92" s="8"/>
      <c r="Q92" s="8"/>
      <c r="R92" s="8"/>
      <c r="S92" s="8"/>
      <c r="T92" s="8"/>
      <c r="U92" s="9"/>
      <c r="V92" s="46"/>
    </row>
    <row r="93" spans="1:22" s="40" customFormat="1">
      <c r="A93" s="46"/>
      <c r="B93" s="142" t="s">
        <v>282</v>
      </c>
      <c r="C93" s="76"/>
      <c r="D93" s="66"/>
      <c r="E93" s="139"/>
      <c r="F93" s="11"/>
      <c r="G93" s="11"/>
      <c r="H93" s="11"/>
      <c r="I93" s="11"/>
      <c r="J93" s="11"/>
      <c r="K93" s="11"/>
      <c r="L93" s="11"/>
      <c r="M93" s="11"/>
      <c r="N93" s="11"/>
      <c r="O93" s="11"/>
      <c r="P93" s="11"/>
      <c r="Q93" s="11"/>
      <c r="R93" s="11"/>
      <c r="S93" s="11"/>
      <c r="T93" s="11"/>
      <c r="U93" s="12"/>
      <c r="V93" s="46"/>
    </row>
    <row r="94" spans="1:22" ht="15">
      <c r="A94" s="46"/>
      <c r="B94" s="155" t="s">
        <v>793</v>
      </c>
      <c r="C94" s="160"/>
      <c r="D94" s="66"/>
      <c r="E94" s="11"/>
      <c r="F94" s="11"/>
      <c r="G94" s="11"/>
      <c r="H94" s="11"/>
      <c r="I94" s="11"/>
      <c r="J94" s="11"/>
      <c r="K94" s="11"/>
      <c r="L94" s="11"/>
      <c r="M94" s="11"/>
      <c r="N94" s="11"/>
      <c r="O94" s="11"/>
      <c r="P94" s="11"/>
      <c r="Q94" s="11"/>
      <c r="R94" s="11"/>
      <c r="S94" s="11"/>
      <c r="T94" s="11"/>
      <c r="U94" s="12"/>
      <c r="V94" s="46"/>
    </row>
    <row r="95" spans="1:22" s="40" customFormat="1">
      <c r="A95" s="46"/>
      <c r="B95" s="155" t="s">
        <v>814</v>
      </c>
      <c r="C95" s="160"/>
      <c r="D95" s="66"/>
      <c r="E95" s="11"/>
      <c r="F95" s="11"/>
      <c r="G95" s="11"/>
      <c r="H95" s="11"/>
      <c r="I95" s="11"/>
      <c r="J95" s="11"/>
      <c r="K95" s="11"/>
      <c r="L95" s="11"/>
      <c r="M95" s="11"/>
      <c r="N95" s="11"/>
      <c r="O95" s="11"/>
      <c r="P95" s="11"/>
      <c r="Q95" s="11"/>
      <c r="R95" s="11"/>
      <c r="S95" s="11"/>
      <c r="T95" s="11"/>
      <c r="U95" s="12"/>
      <c r="V95" s="46"/>
    </row>
    <row r="96" spans="1:22" s="40" customFormat="1">
      <c r="A96" s="46"/>
      <c r="B96" s="116" t="s">
        <v>889</v>
      </c>
      <c r="C96" s="117"/>
      <c r="D96" s="76"/>
      <c r="E96" s="85"/>
      <c r="F96" s="11"/>
      <c r="G96" s="11"/>
      <c r="H96" s="11"/>
      <c r="I96" s="15">
        <v>1</v>
      </c>
      <c r="J96" s="15" t="s">
        <v>238</v>
      </c>
      <c r="K96" s="11"/>
      <c r="L96" s="11"/>
      <c r="M96" s="11"/>
      <c r="N96" s="11"/>
      <c r="O96" s="11"/>
      <c r="P96" s="11"/>
      <c r="Q96" s="11"/>
      <c r="R96" s="11"/>
      <c r="S96" s="11"/>
      <c r="T96" s="11"/>
      <c r="U96" s="12"/>
      <c r="V96" s="46"/>
    </row>
    <row r="97" spans="1:22" s="40" customFormat="1" ht="16.5">
      <c r="A97" s="46"/>
      <c r="B97" s="116" t="s">
        <v>890</v>
      </c>
      <c r="C97" s="66"/>
      <c r="D97" s="76"/>
      <c r="E97" s="85"/>
      <c r="F97" s="11"/>
      <c r="G97" s="11"/>
      <c r="H97" s="11"/>
      <c r="I97" s="15">
        <v>59</v>
      </c>
      <c r="J97" s="15" t="s">
        <v>239</v>
      </c>
      <c r="K97" s="11" t="s">
        <v>240</v>
      </c>
      <c r="L97" s="11"/>
      <c r="M97" s="11"/>
      <c r="N97" s="118">
        <f>(SUM(F38:F52)+SUM(K38:K52)+SUM(P38:P52)+SUM(U38:U51))*$P$32</f>
        <v>90588625453.783371</v>
      </c>
      <c r="O97" s="11"/>
      <c r="P97" s="11" t="s">
        <v>296</v>
      </c>
      <c r="Q97" s="107">
        <f>R51-C38</f>
        <v>2.8999999999999977</v>
      </c>
      <c r="R97" s="11" t="s">
        <v>237</v>
      </c>
      <c r="S97" s="11"/>
      <c r="T97" s="11"/>
      <c r="U97" s="12"/>
      <c r="V97" s="46"/>
    </row>
    <row r="98" spans="1:22" s="40" customFormat="1">
      <c r="A98" s="46"/>
      <c r="B98" s="116"/>
      <c r="C98" s="66"/>
      <c r="D98" s="76"/>
      <c r="E98" s="85"/>
      <c r="F98" s="11"/>
      <c r="G98" s="11"/>
      <c r="H98" s="11"/>
      <c r="I98" s="15"/>
      <c r="J98" s="15"/>
      <c r="K98" s="11"/>
      <c r="L98" s="11"/>
      <c r="M98" s="11"/>
      <c r="N98" s="118"/>
      <c r="O98" s="11"/>
      <c r="P98" s="11"/>
      <c r="Q98" s="11"/>
      <c r="R98" s="11"/>
      <c r="S98" s="11"/>
      <c r="T98" s="11"/>
      <c r="U98" s="12"/>
      <c r="V98" s="46"/>
    </row>
    <row r="99" spans="1:22" s="40" customFormat="1">
      <c r="A99" s="46"/>
      <c r="B99" s="116"/>
      <c r="C99" s="66"/>
      <c r="D99" s="76"/>
      <c r="E99" s="85"/>
      <c r="F99" s="11"/>
      <c r="G99" s="11"/>
      <c r="H99" s="11"/>
      <c r="I99" s="11"/>
      <c r="J99" s="11"/>
      <c r="K99" s="11"/>
      <c r="L99" s="11"/>
      <c r="M99" s="11"/>
      <c r="N99" s="11"/>
      <c r="O99" s="11"/>
      <c r="P99" s="46"/>
      <c r="Q99" s="11"/>
      <c r="R99" s="11"/>
      <c r="S99" s="11"/>
      <c r="T99" s="11"/>
      <c r="U99" s="12"/>
      <c r="V99" s="46"/>
    </row>
    <row r="100" spans="1:22" s="40" customFormat="1" ht="16.5">
      <c r="A100" s="46"/>
      <c r="B100" s="116" t="s">
        <v>794</v>
      </c>
      <c r="C100" s="66"/>
      <c r="D100" s="76"/>
      <c r="E100" s="85"/>
      <c r="F100" s="158" t="s">
        <v>795</v>
      </c>
      <c r="G100" s="147">
        <f>10*LOG10((1/Q97)*N97)</f>
        <v>104.94675672043016</v>
      </c>
      <c r="H100" s="113" t="s">
        <v>28</v>
      </c>
      <c r="I100" s="11"/>
      <c r="J100" s="11"/>
      <c r="K100" s="11"/>
      <c r="L100" s="11"/>
      <c r="M100" s="11"/>
      <c r="N100" s="11"/>
      <c r="O100" s="11"/>
      <c r="P100" s="46"/>
      <c r="Q100" s="11"/>
      <c r="R100" s="11"/>
      <c r="S100" s="11"/>
      <c r="T100" s="11"/>
      <c r="U100" s="12"/>
      <c r="V100" s="46"/>
    </row>
    <row r="101" spans="1:22" s="40" customFormat="1">
      <c r="A101" s="46"/>
      <c r="B101" s="116"/>
      <c r="C101" s="66"/>
      <c r="D101" s="66"/>
      <c r="E101" s="85"/>
      <c r="F101" s="11"/>
      <c r="G101" s="11"/>
      <c r="H101" s="11"/>
      <c r="I101" s="11"/>
      <c r="J101" s="11"/>
      <c r="K101" s="11"/>
      <c r="L101" s="11"/>
      <c r="M101" s="11"/>
      <c r="N101" s="11"/>
      <c r="O101" s="11"/>
      <c r="P101" s="46"/>
      <c r="Q101" s="11"/>
      <c r="R101" s="11"/>
      <c r="S101" s="11"/>
      <c r="T101" s="11"/>
      <c r="U101" s="12"/>
      <c r="V101" s="46"/>
    </row>
    <row r="102" spans="1:22" s="40" customFormat="1">
      <c r="A102" s="46"/>
      <c r="B102" s="116"/>
      <c r="C102" s="76"/>
      <c r="D102" s="159"/>
      <c r="E102" s="85"/>
      <c r="F102" s="11"/>
      <c r="G102" s="11"/>
      <c r="H102" s="11"/>
      <c r="I102" s="11"/>
      <c r="J102" s="11"/>
      <c r="K102" s="11"/>
      <c r="L102" s="11"/>
      <c r="M102" s="11"/>
      <c r="N102" s="11"/>
      <c r="O102" s="11"/>
      <c r="Q102" s="11"/>
      <c r="R102" s="11"/>
      <c r="S102" s="11"/>
      <c r="T102" s="11"/>
      <c r="U102" s="12"/>
      <c r="V102" s="46"/>
    </row>
    <row r="103" spans="1:22" s="40" customFormat="1" ht="16.5">
      <c r="A103" s="46"/>
      <c r="B103" s="116" t="s">
        <v>301</v>
      </c>
      <c r="C103" s="160"/>
      <c r="D103" s="66"/>
      <c r="E103" s="109" t="s">
        <v>302</v>
      </c>
      <c r="F103" s="11"/>
      <c r="G103" s="11"/>
      <c r="H103" s="11"/>
      <c r="I103" s="11"/>
      <c r="J103" s="11"/>
      <c r="K103" s="11"/>
      <c r="L103" s="11"/>
      <c r="M103" s="11"/>
      <c r="N103" s="11"/>
      <c r="O103" s="11"/>
      <c r="P103" s="11"/>
      <c r="Q103" s="11"/>
      <c r="R103" s="11"/>
      <c r="S103" s="11"/>
      <c r="T103" s="11"/>
      <c r="U103" s="12"/>
      <c r="V103" s="46"/>
    </row>
    <row r="104" spans="1:22" s="40" customFormat="1" ht="16.5">
      <c r="A104" s="46"/>
      <c r="B104" s="116"/>
      <c r="C104" s="160"/>
      <c r="D104" s="66"/>
      <c r="E104" s="109" t="s">
        <v>303</v>
      </c>
      <c r="F104" s="11"/>
      <c r="G104" s="11"/>
      <c r="H104" s="11"/>
      <c r="I104" s="11" t="s">
        <v>304</v>
      </c>
      <c r="J104" s="11"/>
      <c r="K104" s="11"/>
      <c r="L104" s="112" t="s">
        <v>305</v>
      </c>
      <c r="M104" s="112">
        <f>G58+10*LOG10(D17/D15)</f>
        <v>108.56940594031964</v>
      </c>
      <c r="N104" s="113" t="s">
        <v>28</v>
      </c>
      <c r="O104" s="11"/>
      <c r="P104" s="11"/>
      <c r="Q104" s="11"/>
      <c r="R104" s="11"/>
      <c r="S104" s="11"/>
      <c r="T104" s="11"/>
      <c r="U104" s="12"/>
      <c r="V104" s="46"/>
    </row>
    <row r="105" spans="1:22" s="40" customFormat="1" ht="16.5">
      <c r="A105" s="46"/>
      <c r="B105" s="116" t="s">
        <v>306</v>
      </c>
      <c r="C105" s="160"/>
      <c r="D105" s="66"/>
      <c r="E105" s="109" t="s">
        <v>307</v>
      </c>
      <c r="F105" s="11"/>
      <c r="G105" s="11"/>
      <c r="H105" s="11"/>
      <c r="I105" s="11"/>
      <c r="J105" s="11"/>
      <c r="K105" s="11"/>
      <c r="L105" s="11"/>
      <c r="M105" s="11"/>
      <c r="N105" s="11"/>
      <c r="O105" s="11"/>
      <c r="P105" s="11"/>
      <c r="Q105" s="11"/>
      <c r="R105" s="11"/>
      <c r="S105" s="11"/>
      <c r="T105" s="11"/>
      <c r="U105" s="12"/>
      <c r="V105" s="46"/>
    </row>
    <row r="106" spans="1:22" s="40" customFormat="1" ht="16.5">
      <c r="A106" s="46"/>
      <c r="B106" s="116"/>
      <c r="C106" s="160"/>
      <c r="D106" s="66"/>
      <c r="E106" s="162" t="s">
        <v>308</v>
      </c>
      <c r="F106" s="147">
        <f>G58+10*LOG10(D15)+1</f>
        <v>109.84936635742773</v>
      </c>
      <c r="G106" s="112" t="s">
        <v>28</v>
      </c>
      <c r="H106" s="112"/>
      <c r="I106" s="112" t="s">
        <v>343</v>
      </c>
      <c r="J106" s="147">
        <f>F106-10*LOG10(7.5/30)</f>
        <v>115.86996627070735</v>
      </c>
      <c r="K106" s="112" t="s">
        <v>28</v>
      </c>
      <c r="L106" s="112" t="s">
        <v>398</v>
      </c>
      <c r="M106" s="147">
        <f>F106-10*LOG10(25/30)</f>
        <v>110.64117881790398</v>
      </c>
      <c r="N106" s="211" t="s">
        <v>28</v>
      </c>
      <c r="O106" s="11" t="s">
        <v>309</v>
      </c>
      <c r="P106" s="11"/>
      <c r="Q106" s="11"/>
      <c r="R106" s="11" t="s">
        <v>310</v>
      </c>
      <c r="S106" s="11"/>
      <c r="T106" s="11"/>
      <c r="U106" s="12"/>
      <c r="V106" s="46"/>
    </row>
    <row r="107" spans="1:22" s="40" customFormat="1">
      <c r="A107" s="46"/>
      <c r="B107" s="116"/>
      <c r="C107" s="160"/>
      <c r="D107" s="66"/>
      <c r="E107" s="109" t="s">
        <v>311</v>
      </c>
      <c r="F107" s="11"/>
      <c r="G107" s="11"/>
      <c r="H107" s="11"/>
      <c r="I107" s="11"/>
      <c r="J107" s="11"/>
      <c r="K107" s="11"/>
      <c r="L107" s="11"/>
      <c r="M107" s="11"/>
      <c r="N107" s="11"/>
      <c r="O107" s="11"/>
      <c r="P107" s="11"/>
      <c r="Q107" s="11"/>
      <c r="R107" s="11"/>
      <c r="S107" s="11"/>
      <c r="T107" s="11"/>
      <c r="U107" s="12"/>
      <c r="V107" s="46"/>
    </row>
    <row r="108" spans="1:22" s="40" customFormat="1">
      <c r="A108" s="46"/>
      <c r="B108" s="116"/>
      <c r="C108" s="160"/>
      <c r="D108" s="66"/>
      <c r="E108" s="109" t="s">
        <v>312</v>
      </c>
      <c r="F108" s="11"/>
      <c r="G108" s="11"/>
      <c r="H108" s="11"/>
      <c r="I108" s="11"/>
      <c r="J108" s="11"/>
      <c r="K108" s="11"/>
      <c r="L108" s="11"/>
      <c r="M108" s="11"/>
      <c r="N108" s="11"/>
      <c r="O108" s="11"/>
      <c r="P108" s="11"/>
      <c r="Q108" s="11"/>
      <c r="R108" s="11"/>
      <c r="S108" s="11"/>
      <c r="T108" s="11"/>
      <c r="U108" s="12"/>
      <c r="V108" s="46"/>
    </row>
    <row r="109" spans="1:22" s="40" customFormat="1">
      <c r="A109" s="46"/>
      <c r="B109" s="145" t="s">
        <v>313</v>
      </c>
      <c r="C109" s="160"/>
      <c r="D109" s="66"/>
      <c r="E109" s="109"/>
      <c r="F109" s="11"/>
      <c r="G109" s="11"/>
      <c r="H109" s="11"/>
      <c r="I109" s="11"/>
      <c r="J109" s="11"/>
      <c r="K109" s="11"/>
      <c r="L109" s="11"/>
      <c r="M109" s="11"/>
      <c r="N109" s="11"/>
      <c r="O109" s="11"/>
      <c r="P109" s="11"/>
      <c r="Q109" s="11"/>
      <c r="R109" s="11"/>
      <c r="S109" s="11"/>
      <c r="T109" s="11"/>
      <c r="U109" s="12"/>
      <c r="V109" s="46"/>
    </row>
    <row r="110" spans="1:22" s="40" customFormat="1">
      <c r="A110" s="46"/>
      <c r="B110" s="116" t="s">
        <v>321</v>
      </c>
      <c r="C110" s="160"/>
      <c r="D110" s="66"/>
      <c r="E110" s="109"/>
      <c r="F110" s="11"/>
      <c r="G110" s="11"/>
      <c r="H110" s="11"/>
      <c r="I110" s="11"/>
      <c r="J110" s="11"/>
      <c r="K110" s="11"/>
      <c r="L110" s="11"/>
      <c r="M110" s="11"/>
      <c r="N110" s="11"/>
      <c r="O110" s="11"/>
      <c r="P110" s="11"/>
      <c r="Q110" s="11"/>
      <c r="R110" s="11"/>
      <c r="S110" s="11"/>
      <c r="T110" s="11"/>
      <c r="U110" s="12"/>
      <c r="V110" s="46"/>
    </row>
    <row r="111" spans="1:22" s="40" customFormat="1">
      <c r="A111" s="46"/>
      <c r="B111" s="116"/>
      <c r="C111" s="40" t="s">
        <v>325</v>
      </c>
      <c r="D111" s="66"/>
      <c r="E111" s="109"/>
      <c r="F111" s="11"/>
      <c r="G111" s="11"/>
      <c r="H111" s="11"/>
      <c r="I111" s="11"/>
      <c r="J111" s="11"/>
      <c r="K111" s="11"/>
      <c r="L111" s="11"/>
      <c r="M111" s="11"/>
      <c r="N111" s="11"/>
      <c r="O111" s="11"/>
      <c r="P111" s="11"/>
      <c r="Q111" s="11"/>
      <c r="R111" s="11"/>
      <c r="S111" s="11"/>
      <c r="T111" s="11"/>
      <c r="U111" s="12"/>
      <c r="V111" s="46"/>
    </row>
    <row r="112" spans="1:22" s="40" customFormat="1" ht="16.5">
      <c r="A112" s="46"/>
      <c r="B112" s="116" t="s">
        <v>314</v>
      </c>
      <c r="C112" s="160"/>
      <c r="D112" s="66"/>
      <c r="E112" s="109"/>
      <c r="F112" s="11"/>
      <c r="G112" s="11"/>
      <c r="H112" s="11"/>
      <c r="I112" s="11"/>
      <c r="J112" s="11"/>
      <c r="K112" s="11"/>
      <c r="L112" s="11"/>
      <c r="M112" s="11"/>
      <c r="N112" s="11"/>
      <c r="O112" s="11"/>
      <c r="P112" s="112" t="s">
        <v>315</v>
      </c>
      <c r="Q112" s="147">
        <f>PERCENTILE('Passby Data Set 1'!D24:D82,0.1)</f>
        <v>82</v>
      </c>
      <c r="R112" s="112" t="s">
        <v>28</v>
      </c>
      <c r="S112" s="11"/>
      <c r="T112" s="11"/>
      <c r="U112" s="12"/>
      <c r="V112" s="46"/>
    </row>
    <row r="113" spans="1:22" s="40" customFormat="1" ht="16.5">
      <c r="A113" s="46"/>
      <c r="B113" s="116" t="s">
        <v>316</v>
      </c>
      <c r="C113" s="160"/>
      <c r="D113" s="66"/>
      <c r="E113" s="109"/>
      <c r="F113" s="11"/>
      <c r="G113" s="11"/>
      <c r="H113" s="11"/>
      <c r="I113" s="11"/>
      <c r="J113" s="11"/>
      <c r="K113" s="11"/>
      <c r="L113" s="11"/>
      <c r="M113" s="11"/>
      <c r="N113" s="11"/>
      <c r="O113" s="11"/>
      <c r="P113" s="112" t="s">
        <v>317</v>
      </c>
      <c r="Q113" s="147">
        <f>PERCENTILE('Passby Data Set 1'!D24:D82,0.5)</f>
        <v>100.4</v>
      </c>
      <c r="R113" s="112" t="s">
        <v>28</v>
      </c>
      <c r="S113" s="11"/>
      <c r="T113" s="11"/>
      <c r="U113" s="12"/>
      <c r="V113" s="46"/>
    </row>
    <row r="114" spans="1:22" s="40" customFormat="1" ht="16.5">
      <c r="A114" s="46"/>
      <c r="B114" s="119" t="s">
        <v>318</v>
      </c>
      <c r="C114" s="170"/>
      <c r="D114" s="137"/>
      <c r="E114" s="171"/>
      <c r="F114" s="18"/>
      <c r="G114" s="18"/>
      <c r="H114" s="18"/>
      <c r="I114" s="18"/>
      <c r="J114" s="18"/>
      <c r="K114" s="18"/>
      <c r="L114" s="18"/>
      <c r="M114" s="18"/>
      <c r="N114" s="18"/>
      <c r="O114" s="18"/>
      <c r="P114" s="148" t="s">
        <v>319</v>
      </c>
      <c r="Q114" s="149">
        <f>PERCENTILE('Passby Data Set 1'!D24:D82,0.9)</f>
        <v>108.72</v>
      </c>
      <c r="R114" s="148" t="s">
        <v>28</v>
      </c>
      <c r="S114" s="18"/>
      <c r="T114" s="18"/>
      <c r="U114" s="19"/>
      <c r="V114" s="46"/>
    </row>
    <row r="115" spans="1:22" s="40" customFormat="1">
      <c r="A115" s="46"/>
      <c r="B115" s="76"/>
      <c r="C115" s="160"/>
      <c r="D115" s="66"/>
      <c r="E115" s="109"/>
      <c r="F115" s="11"/>
      <c r="G115" s="11"/>
      <c r="H115" s="11"/>
      <c r="I115" s="11"/>
      <c r="J115" s="11"/>
      <c r="K115" s="11"/>
      <c r="L115" s="11"/>
      <c r="M115" s="11"/>
      <c r="N115" s="11"/>
      <c r="O115" s="46"/>
      <c r="P115" s="168"/>
      <c r="Q115" s="169"/>
      <c r="R115" s="168"/>
      <c r="S115" s="46"/>
      <c r="T115" s="46"/>
      <c r="U115" s="46"/>
      <c r="V115" s="46"/>
    </row>
    <row r="116" spans="1:22" s="40" customFormat="1">
      <c r="A116" s="46"/>
      <c r="B116" s="132" t="s">
        <v>799</v>
      </c>
      <c r="C116" s="181"/>
      <c r="D116" s="133"/>
      <c r="E116" s="182"/>
      <c r="F116" s="8"/>
      <c r="G116" s="8"/>
      <c r="H116" s="8"/>
      <c r="I116" s="8"/>
      <c r="J116" s="8"/>
      <c r="K116" s="8"/>
      <c r="L116" s="8"/>
      <c r="M116" s="8"/>
      <c r="N116" s="8"/>
      <c r="O116" s="8"/>
      <c r="P116" s="47"/>
      <c r="Q116" s="183"/>
      <c r="R116" s="47"/>
      <c r="S116" s="8"/>
      <c r="T116" s="8"/>
      <c r="U116" s="9"/>
      <c r="V116" s="46"/>
    </row>
    <row r="117" spans="1:22" s="40" customFormat="1" ht="16.5">
      <c r="A117" s="46"/>
      <c r="B117" s="116" t="s">
        <v>346</v>
      </c>
      <c r="C117" s="160"/>
      <c r="D117" s="66"/>
      <c r="E117" s="109"/>
      <c r="F117" s="11"/>
      <c r="G117" s="11"/>
      <c r="H117" s="11"/>
      <c r="I117" s="15">
        <f>D13</f>
        <v>400</v>
      </c>
      <c r="J117" s="11" t="s">
        <v>19</v>
      </c>
      <c r="K117" s="11" t="s">
        <v>357</v>
      </c>
      <c r="L117" s="11"/>
      <c r="M117" s="11"/>
      <c r="N117" s="11"/>
      <c r="O117" s="11"/>
      <c r="P117" s="112"/>
      <c r="Q117" s="147"/>
      <c r="R117" s="112"/>
      <c r="S117" s="11"/>
      <c r="T117" s="11"/>
      <c r="U117" s="12"/>
      <c r="V117" s="46"/>
    </row>
    <row r="118" spans="1:22" s="40" customFormat="1">
      <c r="A118" s="46"/>
      <c r="B118" s="116"/>
      <c r="C118" s="177"/>
      <c r="D118" s="66"/>
      <c r="E118" s="109"/>
      <c r="F118" s="11"/>
      <c r="G118" s="11"/>
      <c r="H118" s="11"/>
      <c r="I118" s="11"/>
      <c r="J118" s="11"/>
      <c r="K118" s="11"/>
      <c r="L118" s="11"/>
      <c r="M118" s="11"/>
      <c r="N118" s="11"/>
      <c r="O118" s="11"/>
      <c r="P118" s="112"/>
      <c r="Q118" s="147"/>
      <c r="R118" s="112"/>
      <c r="S118" s="11"/>
      <c r="T118" s="11"/>
      <c r="U118" s="12"/>
      <c r="V118" s="46"/>
    </row>
    <row r="119" spans="1:22" s="40" customFormat="1" ht="29" customHeight="1">
      <c r="A119" s="46"/>
      <c r="B119" s="116"/>
      <c r="C119" s="160"/>
      <c r="D119" s="379" t="s">
        <v>40</v>
      </c>
      <c r="E119" s="542" t="s">
        <v>349</v>
      </c>
      <c r="F119" s="501"/>
      <c r="G119" s="454"/>
      <c r="H119" s="455"/>
      <c r="I119" s="455"/>
      <c r="J119" s="455"/>
      <c r="K119" s="455"/>
      <c r="L119" s="455"/>
      <c r="M119" s="455"/>
      <c r="N119" s="457"/>
      <c r="O119" s="11"/>
      <c r="P119" s="545" t="s">
        <v>404</v>
      </c>
      <c r="Q119" s="513"/>
      <c r="R119" s="513"/>
      <c r="S119" s="514"/>
      <c r="T119" s="11"/>
      <c r="U119" s="12"/>
      <c r="V119" s="46"/>
    </row>
    <row r="120" spans="1:22" s="40" customFormat="1" ht="20.5" customHeight="1">
      <c r="A120" s="46"/>
      <c r="B120" s="116"/>
      <c r="C120" s="160"/>
      <c r="D120" s="546"/>
      <c r="E120" s="492" t="s">
        <v>350</v>
      </c>
      <c r="F120" s="494" t="s">
        <v>713</v>
      </c>
      <c r="G120" s="493" t="s">
        <v>351</v>
      </c>
      <c r="H120" s="405" t="s">
        <v>352</v>
      </c>
      <c r="I120" s="405" t="s">
        <v>353</v>
      </c>
      <c r="J120" s="405" t="s">
        <v>347</v>
      </c>
      <c r="K120" s="405" t="s">
        <v>348</v>
      </c>
      <c r="L120" s="405" t="s">
        <v>354</v>
      </c>
      <c r="M120" s="405" t="s">
        <v>355</v>
      </c>
      <c r="N120" s="493" t="s">
        <v>356</v>
      </c>
      <c r="O120" s="11"/>
      <c r="P120" s="592" t="s">
        <v>399</v>
      </c>
      <c r="Q120" s="495" t="s">
        <v>400</v>
      </c>
      <c r="R120" s="495" t="s">
        <v>401</v>
      </c>
      <c r="S120" s="495" t="s">
        <v>402</v>
      </c>
      <c r="T120" s="11"/>
      <c r="U120" s="12"/>
      <c r="V120" s="46"/>
    </row>
    <row r="121" spans="1:22" s="40" customFormat="1">
      <c r="A121" s="46"/>
      <c r="B121" s="116"/>
      <c r="C121" s="160"/>
      <c r="D121" s="231">
        <v>1</v>
      </c>
      <c r="E121" s="179">
        <f>E122*$Q$124</f>
        <v>105.90173519619091</v>
      </c>
      <c r="F121" s="179">
        <f t="shared" ref="F121:N121" si="4">F122*$Q$124</f>
        <v>108.63536463536465</v>
      </c>
      <c r="G121" s="179">
        <f t="shared" si="4"/>
        <v>106.67560076665922</v>
      </c>
      <c r="H121" s="179">
        <f t="shared" si="4"/>
        <v>107.72484210721153</v>
      </c>
      <c r="I121" s="179">
        <f t="shared" si="4"/>
        <v>103.26928608354018</v>
      </c>
      <c r="J121" s="179">
        <f t="shared" si="4"/>
        <v>106.83403082039446</v>
      </c>
      <c r="K121" s="179">
        <f t="shared" si="4"/>
        <v>114.01789887776899</v>
      </c>
      <c r="L121" s="179">
        <f t="shared" si="4"/>
        <v>80.689310689310702</v>
      </c>
      <c r="M121" s="179">
        <f t="shared" si="4"/>
        <v>98.79520479520481</v>
      </c>
      <c r="N121" s="179">
        <f t="shared" si="4"/>
        <v>106.98221778221779</v>
      </c>
      <c r="O121" s="11"/>
      <c r="P121" s="595"/>
      <c r="Q121" s="512"/>
      <c r="R121" s="512"/>
      <c r="S121" s="471"/>
      <c r="T121" s="11"/>
      <c r="U121" s="12"/>
      <c r="V121" s="46"/>
    </row>
    <row r="122" spans="1:22" s="40" customFormat="1">
      <c r="A122" s="46"/>
      <c r="B122" s="116"/>
      <c r="C122" s="160"/>
      <c r="D122" s="175">
        <v>2</v>
      </c>
      <c r="E122" s="179">
        <f>G58</f>
        <v>107.62196642780415</v>
      </c>
      <c r="F122" s="180">
        <f>D82</f>
        <v>110.4</v>
      </c>
      <c r="G122" s="180">
        <f>L88</f>
        <v>108.40840240347804</v>
      </c>
      <c r="H122" s="180">
        <f>L90</f>
        <v>109.47468725819161</v>
      </c>
      <c r="I122" s="180">
        <f>G100</f>
        <v>104.94675672043016</v>
      </c>
      <c r="J122" s="180">
        <f>M104</f>
        <v>108.56940594031964</v>
      </c>
      <c r="K122" s="180">
        <f>J106</f>
        <v>115.86996627070735</v>
      </c>
      <c r="L122" s="180">
        <f>Q112</f>
        <v>82</v>
      </c>
      <c r="M122" s="180">
        <f>Q113</f>
        <v>100.4</v>
      </c>
      <c r="N122" s="180">
        <f>Q114</f>
        <v>108.72</v>
      </c>
      <c r="O122" s="11"/>
      <c r="P122" s="593">
        <v>271</v>
      </c>
      <c r="Q122" s="594">
        <f>R75/$S$77</f>
        <v>0.93106893106893118</v>
      </c>
      <c r="R122" s="594">
        <f t="shared" ref="R122:S122" si="5">S75/$S$77</f>
        <v>0.95704295704295705</v>
      </c>
      <c r="S122" s="594">
        <f t="shared" si="5"/>
        <v>0.8191808191808192</v>
      </c>
      <c r="T122" s="11"/>
      <c r="U122" s="12"/>
      <c r="V122" s="46"/>
    </row>
    <row r="123" spans="1:22" s="40" customFormat="1">
      <c r="A123" s="46"/>
      <c r="B123" s="116"/>
      <c r="C123" s="160"/>
      <c r="D123" s="175">
        <v>3</v>
      </c>
      <c r="E123" s="179">
        <f>E122-10*$S$124</f>
        <v>98.820767626605345</v>
      </c>
      <c r="F123" s="179">
        <f t="shared" ref="F123:N123" si="6">F122-10*$S$124</f>
        <v>101.5988011988012</v>
      </c>
      <c r="G123" s="179">
        <f t="shared" si="6"/>
        <v>99.607203602279242</v>
      </c>
      <c r="H123" s="179">
        <f t="shared" si="6"/>
        <v>100.6734884569928</v>
      </c>
      <c r="I123" s="179">
        <f t="shared" si="6"/>
        <v>96.145557919231351</v>
      </c>
      <c r="J123" s="179">
        <f t="shared" si="6"/>
        <v>99.768207139120847</v>
      </c>
      <c r="K123" s="179">
        <f>M106</f>
        <v>110.64117881790398</v>
      </c>
      <c r="L123" s="179">
        <f t="shared" si="6"/>
        <v>73.198801198801192</v>
      </c>
      <c r="M123" s="179">
        <f t="shared" si="6"/>
        <v>91.598801198801198</v>
      </c>
      <c r="N123" s="179">
        <f t="shared" si="6"/>
        <v>99.918801198801191</v>
      </c>
      <c r="O123" s="11"/>
      <c r="P123" s="217">
        <v>341</v>
      </c>
      <c r="Q123" s="219">
        <f t="shared" ref="Q123:S123" si="7">R76/$S$77</f>
        <v>0.96403596403596414</v>
      </c>
      <c r="R123" s="219">
        <f t="shared" si="7"/>
        <v>0.97902097902097907</v>
      </c>
      <c r="S123" s="219">
        <f t="shared" si="7"/>
        <v>0.8541458541458542</v>
      </c>
      <c r="T123" s="11"/>
      <c r="U123" s="12"/>
      <c r="V123" s="46"/>
    </row>
    <row r="124" spans="1:22" s="40" customFormat="1">
      <c r="A124" s="46"/>
      <c r="B124" s="116"/>
      <c r="C124" s="160"/>
      <c r="D124" s="175">
        <v>4</v>
      </c>
      <c r="E124" s="179">
        <f>E123-10*LOG10(30/25)</f>
        <v>98.028955166129094</v>
      </c>
      <c r="F124" s="179">
        <f t="shared" ref="F124:N124" si="8">F123-10*LOG10(30/25)</f>
        <v>100.80698873832495</v>
      </c>
      <c r="G124" s="179">
        <f t="shared" si="8"/>
        <v>98.815391141802991</v>
      </c>
      <c r="H124" s="179">
        <f t="shared" si="8"/>
        <v>99.881675996516549</v>
      </c>
      <c r="I124" s="179">
        <f t="shared" si="8"/>
        <v>95.3537454587551</v>
      </c>
      <c r="J124" s="179">
        <f t="shared" si="8"/>
        <v>98.976394678644596</v>
      </c>
      <c r="K124" s="179">
        <f t="shared" si="8"/>
        <v>109.84936635742773</v>
      </c>
      <c r="L124" s="179">
        <f t="shared" si="8"/>
        <v>72.406988738324941</v>
      </c>
      <c r="M124" s="179">
        <f t="shared" si="8"/>
        <v>90.806988738324947</v>
      </c>
      <c r="N124" s="179">
        <f t="shared" si="8"/>
        <v>99.12698873832494</v>
      </c>
      <c r="O124" s="11"/>
      <c r="P124" s="217">
        <v>386</v>
      </c>
      <c r="Q124" s="219">
        <f t="shared" ref="Q124:S124" si="9">R77/$S$77</f>
        <v>0.98401598401598411</v>
      </c>
      <c r="R124" s="219">
        <f t="shared" si="9"/>
        <v>1</v>
      </c>
      <c r="S124" s="219">
        <f t="shared" si="9"/>
        <v>0.88011988011988007</v>
      </c>
      <c r="T124" s="11"/>
      <c r="U124" s="12"/>
      <c r="V124" s="46"/>
    </row>
    <row r="125" spans="1:22" s="40" customFormat="1">
      <c r="A125" s="46"/>
      <c r="B125" s="119"/>
      <c r="C125" s="170"/>
      <c r="D125" s="137"/>
      <c r="E125" s="171"/>
      <c r="F125" s="18"/>
      <c r="G125" s="18"/>
      <c r="H125" s="18"/>
      <c r="I125" s="18"/>
      <c r="J125" s="18"/>
      <c r="K125" s="18"/>
      <c r="L125" s="18"/>
      <c r="M125" s="18"/>
      <c r="N125" s="18"/>
      <c r="O125" s="18"/>
      <c r="P125" s="148"/>
      <c r="Q125" s="149"/>
      <c r="R125" s="148"/>
      <c r="S125" s="18"/>
      <c r="T125" s="18"/>
      <c r="U125" s="19"/>
      <c r="V125" s="46"/>
    </row>
    <row r="126" spans="1:22" s="40" customFormat="1">
      <c r="A126" s="46"/>
      <c r="B126" s="76"/>
      <c r="C126" s="160"/>
      <c r="D126" s="66"/>
      <c r="E126" s="109"/>
      <c r="F126" s="11"/>
      <c r="G126" s="11"/>
      <c r="H126" s="11"/>
      <c r="I126" s="11"/>
      <c r="J126" s="11"/>
      <c r="K126" s="11"/>
      <c r="L126" s="11"/>
      <c r="M126" s="11"/>
      <c r="N126" s="11"/>
      <c r="O126" s="46"/>
      <c r="P126" s="168"/>
      <c r="Q126" s="169"/>
      <c r="R126" s="168"/>
      <c r="S126" s="46"/>
      <c r="T126" s="46"/>
      <c r="U126" s="46"/>
      <c r="V126" s="46"/>
    </row>
    <row r="127" spans="1:22" s="40" customFormat="1">
      <c r="A127" s="46"/>
      <c r="B127" s="132" t="s">
        <v>320</v>
      </c>
      <c r="C127" s="181"/>
      <c r="D127" s="133"/>
      <c r="E127" s="182"/>
      <c r="F127" s="8"/>
      <c r="G127" s="8"/>
      <c r="H127" s="8"/>
      <c r="I127" s="8"/>
      <c r="J127" s="8"/>
      <c r="K127" s="8"/>
      <c r="L127" s="8"/>
      <c r="M127" s="8"/>
      <c r="N127" s="8"/>
      <c r="O127" s="8"/>
      <c r="P127" s="8"/>
      <c r="Q127" s="8"/>
      <c r="R127" s="8"/>
      <c r="S127" s="8"/>
      <c r="T127" s="8"/>
      <c r="U127" s="9"/>
      <c r="V127" s="46"/>
    </row>
    <row r="128" spans="1:22" s="40" customFormat="1" ht="16.5">
      <c r="A128" s="46"/>
      <c r="B128" s="116" t="s">
        <v>796</v>
      </c>
      <c r="C128" s="160"/>
      <c r="D128" s="66"/>
      <c r="E128" s="109"/>
      <c r="F128" s="11"/>
      <c r="G128" s="11"/>
      <c r="H128" s="11"/>
      <c r="I128" s="11"/>
      <c r="J128" s="11"/>
      <c r="K128" s="11"/>
      <c r="L128" s="11"/>
      <c r="M128" s="11"/>
      <c r="N128" s="11"/>
      <c r="O128" s="11"/>
      <c r="P128" s="11"/>
      <c r="Q128" s="11"/>
      <c r="R128" s="11"/>
      <c r="S128" s="11"/>
      <c r="T128" s="11"/>
      <c r="U128" s="12"/>
      <c r="V128" s="46"/>
    </row>
    <row r="129" spans="1:22" s="40" customFormat="1" ht="16.5">
      <c r="A129" s="46"/>
      <c r="B129" s="145"/>
      <c r="C129" s="11" t="s">
        <v>326</v>
      </c>
      <c r="D129" s="66"/>
      <c r="E129" s="109"/>
      <c r="F129" s="11"/>
      <c r="G129" s="11"/>
      <c r="H129" s="11" t="s">
        <v>329</v>
      </c>
      <c r="I129" s="11" t="s">
        <v>330</v>
      </c>
      <c r="J129" s="11" t="s">
        <v>331</v>
      </c>
      <c r="K129" s="11"/>
      <c r="L129" s="11"/>
      <c r="M129" s="11" t="s">
        <v>334</v>
      </c>
      <c r="N129" s="11"/>
      <c r="O129" s="11"/>
      <c r="P129" s="11"/>
      <c r="Q129" s="11"/>
      <c r="R129" s="11"/>
      <c r="S129" s="11"/>
      <c r="T129" s="11"/>
      <c r="U129" s="12"/>
      <c r="V129" s="46"/>
    </row>
    <row r="130" spans="1:22" s="40" customFormat="1" ht="16.5">
      <c r="A130" s="46"/>
      <c r="B130" s="187" t="s">
        <v>327</v>
      </c>
      <c r="C130" s="11" t="s">
        <v>328</v>
      </c>
      <c r="D130" s="66"/>
      <c r="E130" s="109"/>
      <c r="F130" s="11"/>
      <c r="G130" s="11"/>
      <c r="H130" s="11"/>
      <c r="I130" s="11" t="s">
        <v>332</v>
      </c>
      <c r="J130" s="11" t="s">
        <v>333</v>
      </c>
      <c r="K130" s="11"/>
      <c r="L130" s="11"/>
      <c r="M130" s="11"/>
      <c r="N130" s="11"/>
      <c r="O130" s="11"/>
      <c r="P130" s="11"/>
      <c r="Q130" s="11"/>
      <c r="R130" s="11"/>
      <c r="S130" s="11"/>
      <c r="T130" s="11"/>
      <c r="U130" s="12"/>
      <c r="V130" s="46"/>
    </row>
    <row r="131" spans="1:22" s="40" customFormat="1">
      <c r="A131" s="46"/>
      <c r="B131" s="116" t="s">
        <v>335</v>
      </c>
      <c r="C131" s="160"/>
      <c r="D131" s="66"/>
      <c r="E131" s="109"/>
      <c r="F131" s="11"/>
      <c r="G131" s="11"/>
      <c r="H131" s="11"/>
      <c r="I131" s="11"/>
      <c r="J131" s="11"/>
      <c r="K131" s="11"/>
      <c r="L131" s="11"/>
      <c r="M131" s="11"/>
      <c r="N131" s="11"/>
      <c r="O131" s="11"/>
      <c r="P131" s="11" t="s">
        <v>797</v>
      </c>
      <c r="Q131" s="11"/>
      <c r="R131" s="11"/>
      <c r="S131" s="11"/>
      <c r="T131" s="11"/>
      <c r="U131" s="12"/>
      <c r="V131" s="46"/>
    </row>
    <row r="132" spans="1:22" s="40" customFormat="1">
      <c r="A132" s="46"/>
      <c r="B132" s="116" t="s">
        <v>337</v>
      </c>
      <c r="C132" s="160"/>
      <c r="D132" s="66"/>
      <c r="E132" s="109"/>
      <c r="F132" s="11"/>
      <c r="G132" s="11"/>
      <c r="H132" s="11"/>
      <c r="I132" s="11"/>
      <c r="J132" s="11"/>
      <c r="K132" s="11"/>
      <c r="L132" s="11"/>
      <c r="M132" s="11"/>
      <c r="N132" s="11"/>
      <c r="O132" s="11"/>
      <c r="P132" s="11"/>
      <c r="Q132" s="11"/>
      <c r="R132" s="11"/>
      <c r="S132" s="11"/>
      <c r="T132" s="11"/>
      <c r="U132" s="12"/>
      <c r="V132" s="46"/>
    </row>
    <row r="133" spans="1:22" s="40" customFormat="1">
      <c r="A133" s="46"/>
      <c r="B133" s="116"/>
      <c r="C133" s="172" t="s">
        <v>339</v>
      </c>
      <c r="D133" s="66"/>
      <c r="E133" s="109"/>
      <c r="F133" s="15" t="s">
        <v>340</v>
      </c>
      <c r="G133" s="173">
        <v>6.25E-2</v>
      </c>
      <c r="H133" s="15" t="s">
        <v>341</v>
      </c>
      <c r="I133" s="107">
        <v>25</v>
      </c>
      <c r="J133" s="11"/>
      <c r="K133" s="11"/>
      <c r="L133" s="11"/>
      <c r="M133" s="11"/>
      <c r="N133" s="11"/>
      <c r="O133" s="11"/>
      <c r="P133" s="11"/>
      <c r="Q133" s="11"/>
      <c r="R133" s="11"/>
      <c r="S133" s="11"/>
      <c r="T133" s="11"/>
      <c r="U133" s="12"/>
      <c r="V133" s="46"/>
    </row>
    <row r="134" spans="1:22" s="40" customFormat="1" ht="16.5">
      <c r="A134" s="46"/>
      <c r="B134" s="116" t="s">
        <v>344</v>
      </c>
      <c r="C134" s="160"/>
      <c r="D134" s="66">
        <f>D13</f>
        <v>400</v>
      </c>
      <c r="E134" s="109" t="s">
        <v>19</v>
      </c>
      <c r="F134" s="11"/>
      <c r="G134" s="11"/>
      <c r="H134" s="11"/>
      <c r="I134" s="11"/>
      <c r="J134" s="11"/>
      <c r="K134" s="11"/>
      <c r="L134" s="11"/>
      <c r="M134" s="11"/>
      <c r="N134" s="11"/>
      <c r="O134" s="11"/>
      <c r="P134" s="11"/>
      <c r="Q134" s="11"/>
      <c r="R134" s="11"/>
      <c r="S134" s="11"/>
      <c r="T134" s="11"/>
      <c r="U134" s="12"/>
      <c r="V134" s="46"/>
    </row>
    <row r="135" spans="1:22" s="40" customFormat="1">
      <c r="A135" s="46"/>
      <c r="B135" s="116" t="s">
        <v>358</v>
      </c>
      <c r="C135" s="160"/>
      <c r="D135" s="66"/>
      <c r="E135" s="109"/>
      <c r="F135" s="11"/>
      <c r="G135" s="11"/>
      <c r="H135" s="11"/>
      <c r="I135" s="11"/>
      <c r="J135" s="11"/>
      <c r="K135" s="11"/>
      <c r="L135" s="11"/>
      <c r="M135" s="11"/>
      <c r="N135" s="11"/>
      <c r="O135" s="11"/>
      <c r="P135" s="11"/>
      <c r="Q135" s="11"/>
      <c r="R135" s="11"/>
      <c r="S135" s="11"/>
      <c r="T135" s="11"/>
      <c r="U135" s="12"/>
      <c r="V135" s="46"/>
    </row>
    <row r="136" spans="1:22" s="40" customFormat="1">
      <c r="A136" s="46"/>
      <c r="B136" s="142"/>
      <c r="C136" s="160"/>
      <c r="D136" s="66"/>
      <c r="E136" s="109"/>
      <c r="F136" s="11"/>
      <c r="G136" s="11"/>
      <c r="H136" s="11"/>
      <c r="I136" s="11"/>
      <c r="J136" s="11"/>
      <c r="K136" s="11"/>
      <c r="L136" s="11"/>
      <c r="M136" s="11"/>
      <c r="N136" s="11"/>
      <c r="O136" s="11"/>
      <c r="P136" s="11"/>
      <c r="Q136" s="11"/>
      <c r="R136" s="11"/>
      <c r="S136" s="11"/>
      <c r="T136" s="11"/>
      <c r="U136" s="12"/>
      <c r="V136" s="46"/>
    </row>
    <row r="137" spans="1:22" s="40" customFormat="1" ht="14.5" customHeight="1">
      <c r="A137" s="46"/>
      <c r="B137" s="142"/>
      <c r="C137" s="548"/>
      <c r="D137" s="549"/>
      <c r="E137" s="558" t="s">
        <v>417</v>
      </c>
      <c r="F137" s="455"/>
      <c r="G137" s="455"/>
      <c r="H137" s="455"/>
      <c r="I137" s="455"/>
      <c r="J137" s="455"/>
      <c r="K137" s="455"/>
      <c r="L137" s="455"/>
      <c r="M137" s="455"/>
      <c r="N137" s="457"/>
      <c r="O137" s="11"/>
      <c r="P137" s="11"/>
      <c r="Q137" s="11"/>
      <c r="R137" s="11"/>
      <c r="S137" s="11"/>
      <c r="T137" s="11"/>
      <c r="U137" s="12"/>
      <c r="V137" s="46"/>
    </row>
    <row r="138" spans="1:22" s="40" customFormat="1" ht="45" customHeight="1">
      <c r="A138" s="46"/>
      <c r="B138" s="142"/>
      <c r="C138" s="550" t="s">
        <v>266</v>
      </c>
      <c r="D138" s="469" t="s">
        <v>338</v>
      </c>
      <c r="E138" s="124" t="s">
        <v>350</v>
      </c>
      <c r="F138" s="351" t="s">
        <v>713</v>
      </c>
      <c r="G138" s="92" t="s">
        <v>351</v>
      </c>
      <c r="H138" s="92" t="s">
        <v>352</v>
      </c>
      <c r="I138" s="92" t="s">
        <v>353</v>
      </c>
      <c r="J138" s="92" t="s">
        <v>347</v>
      </c>
      <c r="K138" s="92" t="s">
        <v>348</v>
      </c>
      <c r="L138" s="92" t="s">
        <v>354</v>
      </c>
      <c r="M138" s="92" t="s">
        <v>355</v>
      </c>
      <c r="N138" s="92" t="s">
        <v>356</v>
      </c>
      <c r="O138" s="11"/>
      <c r="P138" s="11"/>
      <c r="Q138" s="11"/>
      <c r="R138" s="11"/>
      <c r="S138" s="11"/>
      <c r="T138" s="11"/>
      <c r="U138" s="12"/>
      <c r="V138" s="46"/>
    </row>
    <row r="139" spans="1:22" s="40" customFormat="1">
      <c r="A139" s="46"/>
      <c r="B139" s="142"/>
      <c r="C139" s="174">
        <v>80</v>
      </c>
      <c r="D139" s="176">
        <f>$G$133*C139+$I$133</f>
        <v>30</v>
      </c>
      <c r="E139" s="179">
        <f>$D$139*LOG(C139/$D$134)+$E$145</f>
        <v>84.93263506611035</v>
      </c>
      <c r="F139" s="179">
        <f>$D$139*LOG(C139/$D$134)+$F$145</f>
        <v>87.66626450528409</v>
      </c>
      <c r="G139" s="179">
        <f>$D$139*LOG(C139/$D$134)+$G$145</f>
        <v>85.706500636578653</v>
      </c>
      <c r="H139" s="179">
        <f>$D$139*LOG(C139/$D$134)+$H$145</f>
        <v>86.755741977130967</v>
      </c>
      <c r="I139" s="179">
        <f>$D$139*LOG(C139/$D$134)+$I$145</f>
        <v>82.300185953459618</v>
      </c>
      <c r="J139" s="179">
        <f>$D$139*LOG(C139/$D$134)+$J$145</f>
        <v>85.864930690313898</v>
      </c>
      <c r="K139" s="179">
        <f>$D$139*LOG(C139/$D$134)+$K$145</f>
        <v>93.048798747688423</v>
      </c>
      <c r="L139" s="179">
        <f>$D$139*LOG(C139/$D$134)+$L$145</f>
        <v>59.720210559230139</v>
      </c>
      <c r="M139" s="179">
        <f>$D$139*LOG(C139/$D$134)+$M$145</f>
        <v>77.826104665124248</v>
      </c>
      <c r="N139" s="179">
        <f>$D$139*LOG(C139/$D$134)+$N$145</f>
        <v>86.013117652137225</v>
      </c>
      <c r="O139" s="11"/>
      <c r="P139" s="117"/>
      <c r="Q139" s="184"/>
      <c r="R139" s="185"/>
      <c r="S139" s="11"/>
      <c r="T139" s="11"/>
      <c r="U139" s="12"/>
      <c r="V139" s="46"/>
    </row>
    <row r="140" spans="1:22" s="40" customFormat="1">
      <c r="A140" s="46"/>
      <c r="B140" s="142"/>
      <c r="C140" s="174">
        <v>150</v>
      </c>
      <c r="D140" s="176">
        <f t="shared" ref="D140:D145" si="10">$G$133*C140+$I$133</f>
        <v>34.375</v>
      </c>
      <c r="E140" s="179">
        <f>$D$140*LOG(C140/$D$134)+$E$145</f>
        <v>91.259060024331248</v>
      </c>
      <c r="F140" s="179">
        <f>$D$140*LOG(C140/$D$134)+$F$145</f>
        <v>93.992689463504988</v>
      </c>
      <c r="G140" s="179">
        <f>$D$140*LOG(C140/$D$134)+$G$145</f>
        <v>92.032925594799551</v>
      </c>
      <c r="H140" s="179">
        <f>$D$140*LOG(C140/$D$134)+$H$145</f>
        <v>93.082166935351864</v>
      </c>
      <c r="I140" s="179">
        <f>$D$140*LOG(C140/$D$134)+$I$145</f>
        <v>88.626610911680515</v>
      </c>
      <c r="J140" s="179">
        <f>$D$140*LOG(C140/$D$134)+$J$145</f>
        <v>92.191355648534795</v>
      </c>
      <c r="K140" s="179">
        <f>$D$140*LOG(C140/$D$134)+$K$145</f>
        <v>99.37522370590932</v>
      </c>
      <c r="L140" s="179">
        <f>$D$140*LOG(C140/$D$134)+$L$145</f>
        <v>66.046635517451037</v>
      </c>
      <c r="M140" s="179">
        <f>$D$140*LOG(C140/$D$134)+$M$145</f>
        <v>84.152529623345146</v>
      </c>
      <c r="N140" s="179">
        <f>$D$140*LOG(C140/$D$134)+$N$145</f>
        <v>92.339542610358123</v>
      </c>
      <c r="O140" s="11"/>
      <c r="P140" s="117"/>
      <c r="Q140" s="184"/>
      <c r="R140" s="185"/>
      <c r="S140" s="11"/>
      <c r="T140" s="11"/>
      <c r="U140" s="12"/>
      <c r="V140" s="46"/>
    </row>
    <row r="141" spans="1:22" s="40" customFormat="1">
      <c r="A141" s="46"/>
      <c r="B141" s="142"/>
      <c r="C141" s="174">
        <v>200</v>
      </c>
      <c r="D141" s="176">
        <f t="shared" si="10"/>
        <v>37.5</v>
      </c>
      <c r="E141" s="179">
        <f>$D$141*LOG(C141/$D$134)+$E$145</f>
        <v>94.613110358791616</v>
      </c>
      <c r="F141" s="179">
        <f>$D$141*LOG(C141/$D$134)+$F$145</f>
        <v>97.346739797965355</v>
      </c>
      <c r="G141" s="179">
        <f>$D$141*LOG(C141/$D$134)+$G$145</f>
        <v>95.386975929259918</v>
      </c>
      <c r="H141" s="179">
        <f>$D$141*LOG(C141/$D$134)+$H$145</f>
        <v>96.436217269812232</v>
      </c>
      <c r="I141" s="179">
        <f>$D$141*LOG(C141/$D$134)+$I$145</f>
        <v>91.980661246140883</v>
      </c>
      <c r="J141" s="179">
        <f>$D$141*LOG(C141/$D$134)+$J$145</f>
        <v>95.545405982995163</v>
      </c>
      <c r="K141" s="179">
        <f>$D$141*LOG(C141/$D$134)+$K$145</f>
        <v>102.72927404036969</v>
      </c>
      <c r="L141" s="179">
        <f>$D$141*LOG(C141/$D$134)+$L$145</f>
        <v>69.400685851911405</v>
      </c>
      <c r="M141" s="179">
        <f>$D$141*LOG(C141/$D$134)+$M$145</f>
        <v>87.506579957805513</v>
      </c>
      <c r="N141" s="179">
        <f>$D$141*LOG(C141/$D$134)+$N$145</f>
        <v>95.693592944818491</v>
      </c>
      <c r="O141" s="11"/>
      <c r="P141" s="117"/>
      <c r="Q141" s="184"/>
      <c r="R141" s="185"/>
      <c r="S141" s="11"/>
      <c r="T141" s="11"/>
      <c r="U141" s="12"/>
      <c r="V141" s="46"/>
    </row>
    <row r="142" spans="1:22" s="40" customFormat="1">
      <c r="A142" s="46"/>
      <c r="B142" s="142"/>
      <c r="C142" s="174">
        <v>250</v>
      </c>
      <c r="D142" s="176">
        <f t="shared" si="10"/>
        <v>40.625</v>
      </c>
      <c r="E142" s="179">
        <f>$D$142*LOG(C142/$D$134)+$E$145</f>
        <v>97.609360900793973</v>
      </c>
      <c r="F142" s="179">
        <f>$D$142*LOG(C142/$D$134)+$F$145</f>
        <v>100.34299033996771</v>
      </c>
      <c r="G142" s="179">
        <f>$D$142*LOG(C142/$D$134)+$G$145</f>
        <v>98.383226471262276</v>
      </c>
      <c r="H142" s="179">
        <f>$D$142*LOG(C142/$D$134)+$H$145</f>
        <v>99.43246781181459</v>
      </c>
      <c r="I142" s="179">
        <f>$D$142*LOG(C142/$D$134)+$I$145</f>
        <v>94.976911788143241</v>
      </c>
      <c r="J142" s="179">
        <f>$D$142*LOG(C142/$D$134)+$J$145</f>
        <v>98.541656524997521</v>
      </c>
      <c r="K142" s="179">
        <f>$D$142*LOG(C142/$D$134)+$K$145</f>
        <v>105.72552458237205</v>
      </c>
      <c r="L142" s="179">
        <f>$D$142*LOG(C142/$D$134)+$L$145</f>
        <v>72.396936393913762</v>
      </c>
      <c r="M142" s="179">
        <f>$D$142*LOG(C142/$D$134)+$M$145</f>
        <v>90.502830499807871</v>
      </c>
      <c r="N142" s="179">
        <f>$D$142*LOG(C142/$D$134)+$N$145</f>
        <v>98.689843486820848</v>
      </c>
      <c r="O142" s="11"/>
      <c r="P142" s="117"/>
      <c r="Q142" s="184"/>
      <c r="R142" s="185"/>
      <c r="S142" s="11"/>
      <c r="T142" s="11"/>
      <c r="U142" s="12"/>
      <c r="V142" s="46"/>
    </row>
    <row r="143" spans="1:22" s="40" customFormat="1">
      <c r="A143" s="46"/>
      <c r="B143" s="142"/>
      <c r="C143" s="174">
        <v>300</v>
      </c>
      <c r="D143" s="176">
        <f t="shared" si="10"/>
        <v>43.75</v>
      </c>
      <c r="E143" s="179">
        <f>$D$143*LOG(C143/$D$134)+$E$145</f>
        <v>100.43566546957778</v>
      </c>
      <c r="F143" s="179">
        <f>$D$143*LOG(C143/$D$134)+$F$145</f>
        <v>103.16929490875152</v>
      </c>
      <c r="G143" s="179">
        <f>$D$143*LOG(C143/$D$134)+$G$145</f>
        <v>101.20953104004609</v>
      </c>
      <c r="H143" s="179">
        <f>$D$143*LOG(C143/$D$134)+$H$145</f>
        <v>102.2587723805984</v>
      </c>
      <c r="I143" s="179">
        <f>$D$143*LOG(C143/$D$134)+$I$145</f>
        <v>97.803216356927052</v>
      </c>
      <c r="J143" s="179">
        <f>$D$143*LOG(C143/$D$134)+$J$145</f>
        <v>101.36796109378133</v>
      </c>
      <c r="K143" s="179">
        <f>$D$143*LOG(C143/$D$134)+$K$145</f>
        <v>108.55182915115586</v>
      </c>
      <c r="L143" s="179">
        <f>$D$143*LOG(C143/$D$134)+$L$145</f>
        <v>75.223240962697574</v>
      </c>
      <c r="M143" s="179">
        <f>$D$143*LOG(C143/$D$134)+$M$145</f>
        <v>93.329135068591683</v>
      </c>
      <c r="N143" s="179">
        <f>$D$143*LOG(C143/$D$134)+$N$145</f>
        <v>101.51614805560466</v>
      </c>
      <c r="O143" s="11"/>
      <c r="P143" s="117"/>
      <c r="Q143" s="184"/>
      <c r="R143" s="185"/>
      <c r="S143" s="11"/>
      <c r="T143" s="11"/>
      <c r="U143" s="12"/>
      <c r="V143" s="46"/>
    </row>
    <row r="144" spans="1:22" s="40" customFormat="1">
      <c r="A144" s="46"/>
      <c r="B144" s="142"/>
      <c r="C144" s="174">
        <v>350</v>
      </c>
      <c r="D144" s="176">
        <f t="shared" si="10"/>
        <v>46.875</v>
      </c>
      <c r="E144" s="179">
        <f>$D$144*LOG(C144/$D$134)+$E$145</f>
        <v>103.18336268161184</v>
      </c>
      <c r="F144" s="179">
        <f>$D$144*LOG(C144/$D$134)+$F$145</f>
        <v>105.91699212078558</v>
      </c>
      <c r="G144" s="179">
        <f>$D$144*LOG(C144/$D$134)+$G$145</f>
        <v>103.95722825208014</v>
      </c>
      <c r="H144" s="179">
        <f>$D$144*LOG(C144/$D$134)+$H$145</f>
        <v>105.00646959263246</v>
      </c>
      <c r="I144" s="179">
        <f>$D$144*LOG(C144/$D$134)+$I$145</f>
        <v>100.55091356896111</v>
      </c>
      <c r="J144" s="179">
        <f>$D$144*LOG(C144/$D$134)+$J$145</f>
        <v>104.11565830581539</v>
      </c>
      <c r="K144" s="179">
        <f>$D$144*LOG(C144/$D$134)+$K$145</f>
        <v>111.29952636318991</v>
      </c>
      <c r="L144" s="179">
        <f>$D$144*LOG(C144/$D$134)+$L$145</f>
        <v>77.970938174731629</v>
      </c>
      <c r="M144" s="179">
        <f>$D$144*LOG(C144/$D$134)+$M$145</f>
        <v>96.076832280625737</v>
      </c>
      <c r="N144" s="179">
        <f>$D$144*LOG(C144/$D$134)+$N$145</f>
        <v>104.26384526763871</v>
      </c>
      <c r="O144" s="11"/>
      <c r="P144" s="117"/>
      <c r="Q144" s="184"/>
      <c r="R144" s="185"/>
      <c r="S144" s="11"/>
      <c r="T144" s="11"/>
      <c r="U144" s="12"/>
      <c r="V144" s="46"/>
    </row>
    <row r="145" spans="1:22" s="40" customFormat="1">
      <c r="A145" s="46"/>
      <c r="B145" s="155" t="s">
        <v>385</v>
      </c>
      <c r="C145" s="174">
        <v>400</v>
      </c>
      <c r="D145" s="176">
        <f t="shared" si="10"/>
        <v>50</v>
      </c>
      <c r="E145" s="179">
        <f>E121</f>
        <v>105.90173519619091</v>
      </c>
      <c r="F145" s="179">
        <f t="shared" ref="F145:N145" si="11">F121</f>
        <v>108.63536463536465</v>
      </c>
      <c r="G145" s="179">
        <f t="shared" si="11"/>
        <v>106.67560076665922</v>
      </c>
      <c r="H145" s="179">
        <f t="shared" si="11"/>
        <v>107.72484210721153</v>
      </c>
      <c r="I145" s="179">
        <f t="shared" si="11"/>
        <v>103.26928608354018</v>
      </c>
      <c r="J145" s="179">
        <f t="shared" si="11"/>
        <v>106.83403082039446</v>
      </c>
      <c r="K145" s="179">
        <f t="shared" si="11"/>
        <v>114.01789887776899</v>
      </c>
      <c r="L145" s="179">
        <f t="shared" si="11"/>
        <v>80.689310689310702</v>
      </c>
      <c r="M145" s="179">
        <f t="shared" si="11"/>
        <v>98.79520479520481</v>
      </c>
      <c r="N145" s="179">
        <f t="shared" si="11"/>
        <v>106.98221778221779</v>
      </c>
      <c r="O145" s="11"/>
      <c r="P145" s="117"/>
      <c r="Q145" s="184"/>
      <c r="R145" s="185"/>
      <c r="S145" s="11"/>
      <c r="T145" s="11"/>
      <c r="U145" s="12"/>
      <c r="V145" s="46"/>
    </row>
    <row r="146" spans="1:22" s="40" customFormat="1">
      <c r="A146" s="46"/>
      <c r="B146" s="155"/>
      <c r="C146" s="117"/>
      <c r="D146" s="184"/>
      <c r="E146" s="185"/>
      <c r="F146" s="185"/>
      <c r="G146" s="185"/>
      <c r="H146" s="185"/>
      <c r="I146" s="185"/>
      <c r="J146" s="185"/>
      <c r="K146" s="185"/>
      <c r="L146" s="185"/>
      <c r="M146" s="185"/>
      <c r="N146" s="185"/>
      <c r="O146" s="11"/>
      <c r="P146" s="11"/>
      <c r="Q146" s="11"/>
      <c r="R146" s="11"/>
      <c r="S146" s="11"/>
      <c r="T146" s="11"/>
      <c r="U146" s="12"/>
      <c r="V146" s="46"/>
    </row>
    <row r="147" spans="1:22" s="40" customFormat="1" ht="14.5" customHeight="1">
      <c r="A147" s="46"/>
      <c r="B147" s="142"/>
      <c r="C147" s="552"/>
      <c r="D147" s="553"/>
      <c r="E147" s="557" t="s">
        <v>411</v>
      </c>
      <c r="F147" s="539"/>
      <c r="G147" s="539"/>
      <c r="H147" s="539"/>
      <c r="I147" s="539"/>
      <c r="J147" s="539"/>
      <c r="K147" s="539"/>
      <c r="L147" s="547"/>
      <c r="M147" s="558"/>
      <c r="N147" s="557"/>
      <c r="O147" s="11"/>
      <c r="P147" s="125" t="s">
        <v>428</v>
      </c>
      <c r="Q147" s="11"/>
      <c r="R147" s="11"/>
      <c r="S147" s="11"/>
      <c r="T147" s="11"/>
      <c r="U147" s="12"/>
      <c r="V147" s="46"/>
    </row>
    <row r="148" spans="1:22" s="40" customFormat="1" ht="44.5" customHeight="1">
      <c r="A148" s="46"/>
      <c r="B148" s="142"/>
      <c r="C148" s="550" t="s">
        <v>266</v>
      </c>
      <c r="D148" s="405" t="s">
        <v>338</v>
      </c>
      <c r="E148" s="167" t="s">
        <v>350</v>
      </c>
      <c r="F148" s="351" t="s">
        <v>713</v>
      </c>
      <c r="G148" s="165" t="s">
        <v>351</v>
      </c>
      <c r="H148" s="165" t="s">
        <v>352</v>
      </c>
      <c r="I148" s="165" t="s">
        <v>353</v>
      </c>
      <c r="J148" s="165" t="s">
        <v>347</v>
      </c>
      <c r="K148" s="165" t="s">
        <v>348</v>
      </c>
      <c r="L148" s="165" t="s">
        <v>354</v>
      </c>
      <c r="M148" s="405" t="s">
        <v>355</v>
      </c>
      <c r="N148" s="165" t="s">
        <v>356</v>
      </c>
      <c r="O148" s="11"/>
      <c r="P148" s="125" t="s">
        <v>429</v>
      </c>
      <c r="Q148" s="11"/>
      <c r="R148" s="11"/>
      <c r="S148" s="11"/>
      <c r="T148" s="11"/>
      <c r="U148" s="12"/>
      <c r="V148" s="46"/>
    </row>
    <row r="149" spans="1:22" s="40" customFormat="1">
      <c r="A149" s="46"/>
      <c r="B149" s="142"/>
      <c r="C149" s="174">
        <v>80</v>
      </c>
      <c r="D149" s="176">
        <f>$G$133*C149+$I$133</f>
        <v>30</v>
      </c>
      <c r="E149" s="179">
        <f>$D$149*LOG(C149/$D$134)+$E$155</f>
        <v>86.652866297723591</v>
      </c>
      <c r="F149" s="179">
        <f>$D$149*LOG(C149/$D$134)+$F$155</f>
        <v>89.430899869919443</v>
      </c>
      <c r="G149" s="179">
        <f>$D$149*LOG(C149/$D$134)+$G$155</f>
        <v>87.439302273397473</v>
      </c>
      <c r="H149" s="179">
        <f>$D$149*LOG(C149/$D$134)+$H$155</f>
        <v>88.505587128111046</v>
      </c>
      <c r="I149" s="179">
        <f>$D$149*LOG(C149/$D$134)+$I$155</f>
        <v>83.977656590349596</v>
      </c>
      <c r="J149" s="179">
        <f>$D$149*LOG(C149/$D$134)+$J$155</f>
        <v>87.600305810239078</v>
      </c>
      <c r="K149" s="179">
        <f>$D$149*LOG(C149/$D$134)+$K$155</f>
        <v>94.900866140626789</v>
      </c>
      <c r="L149" s="179">
        <f>$D$149*LOG(C149/$D$134)+$L$155</f>
        <v>61.030899869919438</v>
      </c>
      <c r="M149" s="179">
        <f>$D$149*LOG(C149/$D$134)+$M$155</f>
        <v>79.430899869919443</v>
      </c>
      <c r="N149" s="179">
        <f>$D$149*LOG(C149/$D$134)+$N$155</f>
        <v>87.750899869919436</v>
      </c>
      <c r="O149" s="11"/>
      <c r="P149" s="11" t="s">
        <v>430</v>
      </c>
      <c r="Q149" s="11"/>
      <c r="R149" s="11"/>
      <c r="S149" s="11"/>
      <c r="T149" s="11"/>
      <c r="U149" s="12"/>
      <c r="V149" s="46"/>
    </row>
    <row r="150" spans="1:22" s="40" customFormat="1">
      <c r="A150" s="46"/>
      <c r="B150" s="142"/>
      <c r="C150" s="174">
        <v>150</v>
      </c>
      <c r="D150" s="176">
        <f t="shared" ref="D150:D155" si="12">$G$133*C150+$I$133</f>
        <v>34.375</v>
      </c>
      <c r="E150" s="179">
        <f>$D$150*LOG(C150/$D$134)+E155</f>
        <v>92.979291255944489</v>
      </c>
      <c r="F150" s="179">
        <f>$D$150*LOG(C150/$D$134)+$F$155</f>
        <v>95.757324828140341</v>
      </c>
      <c r="G150" s="179">
        <f>$D$150*LOG(C150/$D$134)+$G$155</f>
        <v>93.765727231618371</v>
      </c>
      <c r="H150" s="179">
        <f>$D$150*LOG(C150/$D$134)+$H$155</f>
        <v>94.832012086331943</v>
      </c>
      <c r="I150" s="179">
        <f>$D$150*LOG(C150/$D$134)+$I$155</f>
        <v>90.304081548570494</v>
      </c>
      <c r="J150" s="179">
        <f>$D$150*LOG(C150/$D$134)+$J$155</f>
        <v>93.926730768459976</v>
      </c>
      <c r="K150" s="179">
        <f>$D$150*LOG(C150/$D$134)+$K$155</f>
        <v>101.22729109884769</v>
      </c>
      <c r="L150" s="179">
        <f>$D$150*LOG(C150/$D$134)+$L$155</f>
        <v>67.357324828140335</v>
      </c>
      <c r="M150" s="179">
        <f>$D$150*LOG(C150/$D$134)+$M$155</f>
        <v>85.757324828140341</v>
      </c>
      <c r="N150" s="179">
        <f>$D$150*LOG(C150/$D$134)+$N$155</f>
        <v>94.077324828140334</v>
      </c>
      <c r="O150" s="11"/>
      <c r="P150" s="11"/>
      <c r="Q150" s="11"/>
      <c r="R150" s="15" t="s">
        <v>435</v>
      </c>
      <c r="S150" s="11"/>
      <c r="T150" s="11"/>
      <c r="U150" s="12"/>
      <c r="V150" s="46"/>
    </row>
    <row r="151" spans="1:22" s="40" customFormat="1">
      <c r="A151" s="46"/>
      <c r="B151" s="142"/>
      <c r="C151" s="174">
        <v>200</v>
      </c>
      <c r="D151" s="176">
        <f t="shared" si="12"/>
        <v>37.5</v>
      </c>
      <c r="E151" s="179">
        <f>$D$151*LOG($C$151/$D$134)+E155</f>
        <v>96.333341590404856</v>
      </c>
      <c r="F151" s="179">
        <f t="shared" ref="F151:N151" si="13">$D$151*LOG($C$151/$D$134)+F155</f>
        <v>99.111375162600709</v>
      </c>
      <c r="G151" s="179">
        <f t="shared" si="13"/>
        <v>97.119777566078739</v>
      </c>
      <c r="H151" s="179">
        <f t="shared" si="13"/>
        <v>98.186062420792311</v>
      </c>
      <c r="I151" s="179">
        <f t="shared" si="13"/>
        <v>93.658131883030862</v>
      </c>
      <c r="J151" s="179">
        <f t="shared" si="13"/>
        <v>97.280781102920344</v>
      </c>
      <c r="K151" s="179">
        <f t="shared" si="13"/>
        <v>104.58134143330805</v>
      </c>
      <c r="L151" s="179">
        <f t="shared" si="13"/>
        <v>70.711375162600703</v>
      </c>
      <c r="M151" s="179">
        <f t="shared" si="13"/>
        <v>89.111375162600709</v>
      </c>
      <c r="N151" s="179">
        <f t="shared" si="13"/>
        <v>97.431375162600702</v>
      </c>
      <c r="O151" s="11"/>
      <c r="P151" s="11"/>
      <c r="Q151" s="11"/>
      <c r="R151" s="11"/>
      <c r="S151" s="11"/>
      <c r="T151" s="11"/>
      <c r="U151" s="12"/>
      <c r="V151" s="46"/>
    </row>
    <row r="152" spans="1:22" s="40" customFormat="1">
      <c r="A152" s="46"/>
      <c r="B152" s="142"/>
      <c r="C152" s="174">
        <v>250</v>
      </c>
      <c r="D152" s="176">
        <f t="shared" si="12"/>
        <v>40.625</v>
      </c>
      <c r="E152" s="179">
        <f>$D$152*LOG($C$152/$D$134)+E155</f>
        <v>99.329592132407214</v>
      </c>
      <c r="F152" s="179">
        <f t="shared" ref="F152:N152" si="14">$D$152*LOG($C$152/$D$134)+F155</f>
        <v>102.10762570460307</v>
      </c>
      <c r="G152" s="179">
        <f t="shared" si="14"/>
        <v>100.1160281080811</v>
      </c>
      <c r="H152" s="179">
        <f t="shared" si="14"/>
        <v>101.18231296279467</v>
      </c>
      <c r="I152" s="179">
        <f t="shared" si="14"/>
        <v>96.654382425033219</v>
      </c>
      <c r="J152" s="179">
        <f t="shared" si="14"/>
        <v>100.2770316449227</v>
      </c>
      <c r="K152" s="179">
        <f t="shared" si="14"/>
        <v>107.57759197531041</v>
      </c>
      <c r="L152" s="179">
        <f t="shared" si="14"/>
        <v>73.707625704603061</v>
      </c>
      <c r="M152" s="179">
        <f t="shared" si="14"/>
        <v>92.107625704603066</v>
      </c>
      <c r="N152" s="179">
        <f t="shared" si="14"/>
        <v>100.42762570460306</v>
      </c>
      <c r="O152" s="11"/>
      <c r="P152" s="11"/>
      <c r="Q152" s="11"/>
      <c r="R152" s="11"/>
      <c r="S152" s="11"/>
      <c r="T152" s="11"/>
      <c r="U152" s="12"/>
      <c r="V152" s="46"/>
    </row>
    <row r="153" spans="1:22" s="40" customFormat="1">
      <c r="A153" s="46"/>
      <c r="B153" s="142"/>
      <c r="C153" s="174">
        <v>300</v>
      </c>
      <c r="D153" s="176">
        <f t="shared" si="12"/>
        <v>43.75</v>
      </c>
      <c r="E153" s="179">
        <f>$D$153*LOG($C$153/$D$134)+E155</f>
        <v>102.15589670119103</v>
      </c>
      <c r="F153" s="179">
        <f t="shared" ref="F153:N153" si="15">$D$153*LOG($C$153/$D$134)+F155</f>
        <v>104.93393027338688</v>
      </c>
      <c r="G153" s="179">
        <f t="shared" si="15"/>
        <v>102.94233267686491</v>
      </c>
      <c r="H153" s="179">
        <f t="shared" si="15"/>
        <v>104.00861753157848</v>
      </c>
      <c r="I153" s="179">
        <f t="shared" si="15"/>
        <v>99.480686993817031</v>
      </c>
      <c r="J153" s="179">
        <f t="shared" si="15"/>
        <v>103.10333621370651</v>
      </c>
      <c r="K153" s="179">
        <f t="shared" si="15"/>
        <v>110.40389654409422</v>
      </c>
      <c r="L153" s="179">
        <f t="shared" si="15"/>
        <v>76.533930273386872</v>
      </c>
      <c r="M153" s="179">
        <f t="shared" si="15"/>
        <v>94.933930273386878</v>
      </c>
      <c r="N153" s="179">
        <f t="shared" si="15"/>
        <v>103.25393027338687</v>
      </c>
      <c r="O153" s="11"/>
      <c r="P153" s="11"/>
      <c r="Q153" s="11"/>
      <c r="R153" s="11"/>
      <c r="S153" s="11"/>
      <c r="T153" s="11"/>
      <c r="U153" s="12"/>
      <c r="V153" s="46"/>
    </row>
    <row r="154" spans="1:22" s="40" customFormat="1">
      <c r="A154" s="46"/>
      <c r="B154" s="142"/>
      <c r="C154" s="174">
        <v>350</v>
      </c>
      <c r="D154" s="176">
        <f t="shared" si="12"/>
        <v>46.875</v>
      </c>
      <c r="E154" s="179">
        <f>$D$154*LOG($C$154/$D$134)+E155</f>
        <v>104.90359391322508</v>
      </c>
      <c r="F154" s="179">
        <f t="shared" ref="F154:N154" si="16">$D$154*LOG($C$154/$D$134)+F155</f>
        <v>107.68162748542093</v>
      </c>
      <c r="G154" s="179">
        <f t="shared" si="16"/>
        <v>105.69002988889896</v>
      </c>
      <c r="H154" s="179">
        <f t="shared" si="16"/>
        <v>106.75631474361253</v>
      </c>
      <c r="I154" s="179">
        <f t="shared" si="16"/>
        <v>102.22838420585109</v>
      </c>
      <c r="J154" s="179">
        <f t="shared" si="16"/>
        <v>105.85103342574057</v>
      </c>
      <c r="K154" s="179">
        <f t="shared" si="16"/>
        <v>113.15159375612828</v>
      </c>
      <c r="L154" s="179">
        <f t="shared" si="16"/>
        <v>79.281627485420927</v>
      </c>
      <c r="M154" s="179">
        <f t="shared" si="16"/>
        <v>97.681627485420933</v>
      </c>
      <c r="N154" s="179">
        <f t="shared" si="16"/>
        <v>106.00162748542093</v>
      </c>
      <c r="O154" s="11"/>
      <c r="P154" s="11"/>
      <c r="Q154" s="11"/>
      <c r="R154" s="11"/>
      <c r="S154" s="11"/>
      <c r="T154" s="11"/>
      <c r="U154" s="12"/>
      <c r="V154" s="46"/>
    </row>
    <row r="155" spans="1:22" s="40" customFormat="1">
      <c r="A155" s="46"/>
      <c r="B155" s="155" t="s">
        <v>385</v>
      </c>
      <c r="C155" s="174">
        <v>400</v>
      </c>
      <c r="D155" s="176">
        <f t="shared" si="12"/>
        <v>50</v>
      </c>
      <c r="E155" s="179">
        <f>E122</f>
        <v>107.62196642780415</v>
      </c>
      <c r="F155" s="179">
        <f t="shared" ref="F155:N155" si="17">F122</f>
        <v>110.4</v>
      </c>
      <c r="G155" s="179">
        <f t="shared" si="17"/>
        <v>108.40840240347804</v>
      </c>
      <c r="H155" s="179">
        <f t="shared" si="17"/>
        <v>109.47468725819161</v>
      </c>
      <c r="I155" s="179">
        <f t="shared" si="17"/>
        <v>104.94675672043016</v>
      </c>
      <c r="J155" s="179">
        <f t="shared" si="17"/>
        <v>108.56940594031964</v>
      </c>
      <c r="K155" s="179">
        <f t="shared" si="17"/>
        <v>115.86996627070735</v>
      </c>
      <c r="L155" s="179">
        <f t="shared" si="17"/>
        <v>82</v>
      </c>
      <c r="M155" s="179">
        <f t="shared" si="17"/>
        <v>100.4</v>
      </c>
      <c r="N155" s="179">
        <f t="shared" si="17"/>
        <v>108.72</v>
      </c>
      <c r="O155" s="11"/>
      <c r="P155" s="11"/>
      <c r="Q155" s="11"/>
      <c r="R155" s="11"/>
      <c r="S155" s="11"/>
      <c r="T155" s="11"/>
      <c r="U155" s="12"/>
      <c r="V155" s="46"/>
    </row>
    <row r="156" spans="1:22" s="40" customFormat="1">
      <c r="A156" s="46"/>
      <c r="B156" s="155"/>
      <c r="C156" s="117"/>
      <c r="D156" s="184"/>
      <c r="E156" s="185"/>
      <c r="F156" s="185"/>
      <c r="G156" s="185"/>
      <c r="H156" s="185"/>
      <c r="I156" s="185"/>
      <c r="J156" s="185"/>
      <c r="K156" s="185"/>
      <c r="L156" s="185"/>
      <c r="M156" s="185"/>
      <c r="N156" s="185"/>
      <c r="O156" s="11"/>
      <c r="P156" s="11"/>
      <c r="Q156" s="11"/>
      <c r="R156" s="11"/>
      <c r="S156" s="11"/>
      <c r="T156" s="11"/>
      <c r="U156" s="12"/>
      <c r="V156" s="46"/>
    </row>
    <row r="157" spans="1:22" s="40" customFormat="1" ht="14.5" customHeight="1">
      <c r="A157" s="46"/>
      <c r="B157" s="142"/>
      <c r="C157" s="559"/>
      <c r="D157" s="551"/>
      <c r="E157" s="557" t="s">
        <v>359</v>
      </c>
      <c r="F157" s="501"/>
      <c r="G157" s="501"/>
      <c r="H157" s="501"/>
      <c r="I157" s="454"/>
      <c r="J157" s="455"/>
      <c r="K157" s="455"/>
      <c r="L157" s="455"/>
      <c r="M157" s="455"/>
      <c r="N157" s="457"/>
      <c r="O157" s="11"/>
      <c r="P157" s="11"/>
      <c r="Q157" s="11"/>
      <c r="R157" s="11"/>
      <c r="S157" s="11"/>
      <c r="T157" s="11"/>
      <c r="U157" s="12"/>
      <c r="V157" s="46"/>
    </row>
    <row r="158" spans="1:22" s="40" customFormat="1" ht="42" customHeight="1">
      <c r="A158" s="46"/>
      <c r="B158" s="142"/>
      <c r="C158" s="550" t="s">
        <v>266</v>
      </c>
      <c r="D158" s="469" t="s">
        <v>338</v>
      </c>
      <c r="E158" s="124" t="s">
        <v>350</v>
      </c>
      <c r="F158" s="351" t="s">
        <v>713</v>
      </c>
      <c r="G158" s="92" t="s">
        <v>351</v>
      </c>
      <c r="H158" s="92" t="s">
        <v>352</v>
      </c>
      <c r="I158" s="92" t="s">
        <v>353</v>
      </c>
      <c r="J158" s="405" t="s">
        <v>347</v>
      </c>
      <c r="K158" s="405" t="s">
        <v>348</v>
      </c>
      <c r="L158" s="405" t="s">
        <v>354</v>
      </c>
      <c r="M158" s="405" t="s">
        <v>355</v>
      </c>
      <c r="N158" s="92" t="s">
        <v>356</v>
      </c>
      <c r="O158" s="11"/>
      <c r="P158" s="11"/>
      <c r="Q158" s="11"/>
      <c r="R158" s="11"/>
      <c r="S158" s="11"/>
      <c r="T158" s="11"/>
      <c r="U158" s="12"/>
      <c r="V158" s="46"/>
    </row>
    <row r="159" spans="1:22" s="40" customFormat="1">
      <c r="A159" s="46"/>
      <c r="B159" s="142"/>
      <c r="C159" s="174">
        <v>80</v>
      </c>
      <c r="D159" s="176">
        <f>$G$133*C159+$I$133</f>
        <v>30</v>
      </c>
      <c r="E159" s="179">
        <f>$D$159*LOG(C159/$D$134)+$E$165</f>
        <v>77.851667496524783</v>
      </c>
      <c r="F159" s="179">
        <f>$D$159*LOG(C159/$D$134)+$F$165</f>
        <v>80.629701068720635</v>
      </c>
      <c r="G159" s="179">
        <f>$D$159*LOG(C159/$D$134)+$G$165</f>
        <v>78.638103472198679</v>
      </c>
      <c r="H159" s="179">
        <f>$D$159*LOG(C159/$D$134)+$H$165</f>
        <v>79.704388326912238</v>
      </c>
      <c r="I159" s="179">
        <f>$D$159*LOG(C159/$D$134)+$I$165</f>
        <v>75.176457789150788</v>
      </c>
      <c r="J159" s="179">
        <f>$D$159*LOG(C159/$D$134)+$J$165</f>
        <v>78.799107009040284</v>
      </c>
      <c r="K159" s="179">
        <f>$D$159*LOG(C159/$D$134)+$K$165</f>
        <v>89.672078687823415</v>
      </c>
      <c r="L159" s="179">
        <f>$D$159*LOG(C159/$D$134)+$L$165</f>
        <v>52.22970106872063</v>
      </c>
      <c r="M159" s="179">
        <f>$D$159*LOG(C159/$D$134)+$M$165</f>
        <v>70.629701068720635</v>
      </c>
      <c r="N159" s="179">
        <f>$D$159*LOG(C159/$D$134)+$N$165</f>
        <v>78.949701068720628</v>
      </c>
      <c r="O159" s="11"/>
      <c r="P159" s="11"/>
      <c r="Q159" s="11"/>
      <c r="R159" s="11"/>
      <c r="S159" s="11"/>
      <c r="T159" s="11"/>
      <c r="U159" s="12"/>
      <c r="V159" s="46"/>
    </row>
    <row r="160" spans="1:22" s="40" customFormat="1">
      <c r="A160" s="46"/>
      <c r="B160" s="142"/>
      <c r="C160" s="174">
        <v>150</v>
      </c>
      <c r="D160" s="176">
        <f t="shared" ref="D160:D165" si="18">$G$133*C160+$I$133</f>
        <v>34.375</v>
      </c>
      <c r="E160" s="179">
        <f>$D$160*LOG(C160/$D$134)+$E$165</f>
        <v>84.178092454745681</v>
      </c>
      <c r="F160" s="179">
        <f>$D$160*LOG(C160/$D$134)+$F$165</f>
        <v>86.956126026941533</v>
      </c>
      <c r="G160" s="179">
        <f>$D$160*LOG(C160/$D$134)+$G$165</f>
        <v>84.964528430419577</v>
      </c>
      <c r="H160" s="179">
        <f>$D$160*LOG(C160/$D$134)+$H$165</f>
        <v>86.030813285133135</v>
      </c>
      <c r="I160" s="179">
        <f>$D$160*LOG(C160/$D$134)+$I$165</f>
        <v>81.502882747371686</v>
      </c>
      <c r="J160" s="179">
        <f>$D$160*LOG(C160/$D$134)+$J$165</f>
        <v>85.125531967261182</v>
      </c>
      <c r="K160" s="179">
        <f>$D$160*LOG(C160/$D$134)+$K$165</f>
        <v>95.998503646044313</v>
      </c>
      <c r="L160" s="179">
        <f>$D$160*LOG(C160/$D$134)+$L$165</f>
        <v>58.556126026941527</v>
      </c>
      <c r="M160" s="179">
        <f>$D$160*LOG(C160/$D$134)+$M$165</f>
        <v>76.956126026941533</v>
      </c>
      <c r="N160" s="179">
        <f>$D$160*LOG(C160/$D$134)+$N$165</f>
        <v>85.276126026941526</v>
      </c>
      <c r="O160" s="11"/>
      <c r="P160" s="11"/>
      <c r="Q160" s="11"/>
      <c r="R160" s="11"/>
      <c r="S160" s="11"/>
      <c r="T160" s="11"/>
      <c r="U160" s="12"/>
      <c r="V160" s="46"/>
    </row>
    <row r="161" spans="1:23" s="40" customFormat="1">
      <c r="A161" s="46"/>
      <c r="B161" s="142"/>
      <c r="C161" s="174">
        <v>200</v>
      </c>
      <c r="D161" s="176">
        <f t="shared" si="18"/>
        <v>37.5</v>
      </c>
      <c r="E161" s="179">
        <f>$D$161*LOG(C161/$D$134)+$E$165</f>
        <v>87.532142789206048</v>
      </c>
      <c r="F161" s="179">
        <f>$D$161*LOG(C161/$D$134)+$F$165</f>
        <v>90.310176361401901</v>
      </c>
      <c r="G161" s="179">
        <f>$D$161*LOG(C161/$D$134)+$G$165</f>
        <v>88.318578764879945</v>
      </c>
      <c r="H161" s="179">
        <f>$D$161*LOG(C161/$D$134)+$H$165</f>
        <v>89.384863619593503</v>
      </c>
      <c r="I161" s="179">
        <f>$D$161*LOG(C161/$D$134)+$I$165</f>
        <v>84.856933081832054</v>
      </c>
      <c r="J161" s="179">
        <f>$D$161*LOG(C161/$D$134)+$J$165</f>
        <v>88.47958230172155</v>
      </c>
      <c r="K161" s="179">
        <f>$D$161*LOG(C161/$D$134)+$K$165</f>
        <v>99.35255398050468</v>
      </c>
      <c r="L161" s="179">
        <f>$D$161*LOG(C161/$D$134)+$L$165</f>
        <v>61.910176361401895</v>
      </c>
      <c r="M161" s="179">
        <f>$D$161*LOG(C161/$D$134)+$M$165</f>
        <v>80.310176361401901</v>
      </c>
      <c r="N161" s="179">
        <f>$D$161*LOG(C161/$D$134)+$N$165</f>
        <v>88.630176361401894</v>
      </c>
      <c r="O161" s="11"/>
      <c r="P161" s="11"/>
      <c r="Q161" s="11"/>
      <c r="R161" s="11"/>
      <c r="S161" s="11"/>
      <c r="T161" s="11"/>
      <c r="U161" s="12"/>
      <c r="V161" s="46"/>
    </row>
    <row r="162" spans="1:23" s="40" customFormat="1">
      <c r="A162" s="46"/>
      <c r="B162" s="142"/>
      <c r="C162" s="174">
        <v>250</v>
      </c>
      <c r="D162" s="176">
        <f t="shared" si="18"/>
        <v>40.625</v>
      </c>
      <c r="E162" s="179">
        <f>$D$162*LOG(C162/$D$134)+$E$165</f>
        <v>90.528393331208406</v>
      </c>
      <c r="F162" s="179">
        <f>$D$162*LOG(C162/$D$134)+$F$165</f>
        <v>93.306426903404258</v>
      </c>
      <c r="G162" s="179">
        <f>$D$162*LOG(C162/$D$134)+$G$165</f>
        <v>91.314829306882302</v>
      </c>
      <c r="H162" s="179">
        <f>$D$162*LOG(C162/$D$134)+$H$165</f>
        <v>92.38111416159586</v>
      </c>
      <c r="I162" s="179">
        <f>$D$162*LOG(C162/$D$134)+$I$165</f>
        <v>87.853183623834411</v>
      </c>
      <c r="J162" s="179">
        <f>$D$162*LOG(C162/$D$134)+$J$165</f>
        <v>91.475832843723907</v>
      </c>
      <c r="K162" s="179">
        <f>$D$162*LOG(C162/$D$134)+$K$165</f>
        <v>102.34880452250704</v>
      </c>
      <c r="L162" s="179">
        <f>$D$162*LOG(C162/$D$134)+$L$165</f>
        <v>64.906426903404252</v>
      </c>
      <c r="M162" s="179">
        <f>$D$162*LOG(C162/$D$134)+$M$165</f>
        <v>83.306426903404258</v>
      </c>
      <c r="N162" s="179">
        <f>$D$162*LOG(C162/$D$134)+$N$165</f>
        <v>91.626426903404251</v>
      </c>
      <c r="O162" s="11"/>
      <c r="P162" s="11"/>
      <c r="Q162" s="11"/>
      <c r="R162" s="11"/>
      <c r="S162" s="11"/>
      <c r="T162" s="11"/>
      <c r="U162" s="12"/>
      <c r="V162" s="46"/>
    </row>
    <row r="163" spans="1:23" s="40" customFormat="1">
      <c r="A163" s="46"/>
      <c r="B163" s="142"/>
      <c r="C163" s="174">
        <v>300</v>
      </c>
      <c r="D163" s="176">
        <f t="shared" si="18"/>
        <v>43.75</v>
      </c>
      <c r="E163" s="179">
        <f>$D$163*LOG(C163/$D$134)+$E$165</f>
        <v>93.354697899992217</v>
      </c>
      <c r="F163" s="179">
        <f>$D$163*LOG(C163/$D$134)+$F$165</f>
        <v>96.13273147218807</v>
      </c>
      <c r="G163" s="179">
        <f>$D$163*LOG(C163/$D$134)+$G$165</f>
        <v>94.141133875666114</v>
      </c>
      <c r="H163" s="179">
        <f>$D$163*LOG(C163/$D$134)+$H$165</f>
        <v>95.207418730379672</v>
      </c>
      <c r="I163" s="179">
        <f>$D$163*LOG(C163/$D$134)+$I$165</f>
        <v>90.679488192618223</v>
      </c>
      <c r="J163" s="179">
        <f>$D$163*LOG(C163/$D$134)+$J$165</f>
        <v>94.302137412507719</v>
      </c>
      <c r="K163" s="179">
        <f>$D$163*LOG(C163/$D$134)+$K$165</f>
        <v>105.17510909129085</v>
      </c>
      <c r="L163" s="179">
        <f>$D$163*LOG(C163/$D$134)+$L$165</f>
        <v>67.732731472188064</v>
      </c>
      <c r="M163" s="179">
        <f>$D$163*LOG(C163/$D$134)+$M$165</f>
        <v>86.13273147218807</v>
      </c>
      <c r="N163" s="179">
        <f>$D$163*LOG(C163/$D$134)+$N$165</f>
        <v>94.452731472188063</v>
      </c>
      <c r="O163" s="11"/>
      <c r="P163" s="11"/>
      <c r="Q163" s="11"/>
      <c r="R163" s="11"/>
      <c r="S163" s="11"/>
      <c r="T163" s="11"/>
      <c r="U163" s="12"/>
      <c r="V163" s="46"/>
    </row>
    <row r="164" spans="1:23" s="40" customFormat="1">
      <c r="A164" s="46"/>
      <c r="B164" s="142"/>
      <c r="C164" s="174">
        <v>350</v>
      </c>
      <c r="D164" s="176">
        <f t="shared" si="18"/>
        <v>46.875</v>
      </c>
      <c r="E164" s="179">
        <f>$D$164*LOG(C164/$D$134)+$E$165</f>
        <v>96.102395112026272</v>
      </c>
      <c r="F164" s="179">
        <f>$D$164*LOG(C164/$D$134)+$F$165</f>
        <v>98.880428684222125</v>
      </c>
      <c r="G164" s="179">
        <f>$D$164*LOG(C164/$D$134)+$G$165</f>
        <v>96.888831087700169</v>
      </c>
      <c r="H164" s="179">
        <f>$D$164*LOG(C164/$D$134)+$H$165</f>
        <v>97.955115942413727</v>
      </c>
      <c r="I164" s="179">
        <f>$D$164*LOG(C164/$D$134)+$I$165</f>
        <v>93.427185404652278</v>
      </c>
      <c r="J164" s="179">
        <f>$D$164*LOG(C164/$D$134)+$J$165</f>
        <v>97.049834624541774</v>
      </c>
      <c r="K164" s="179">
        <f>$D$164*LOG(C164/$D$134)+$K$165</f>
        <v>107.9228063033249</v>
      </c>
      <c r="L164" s="179">
        <f>$D$164*LOG(C164/$D$134)+$L$165</f>
        <v>70.480428684222119</v>
      </c>
      <c r="M164" s="179">
        <f>$D$164*LOG(C164/$D$134)+$M$165</f>
        <v>88.880428684222125</v>
      </c>
      <c r="N164" s="179">
        <f>$D$164*LOG(C164/$D$134)+$N$165</f>
        <v>97.200428684222118</v>
      </c>
      <c r="O164" s="11"/>
      <c r="P164" s="11"/>
      <c r="Q164" s="11"/>
      <c r="R164" s="11"/>
      <c r="S164" s="11"/>
      <c r="T164" s="11"/>
      <c r="U164" s="12"/>
      <c r="V164" s="46"/>
    </row>
    <row r="165" spans="1:23" s="40" customFormat="1">
      <c r="A165" s="46"/>
      <c r="B165" s="155" t="s">
        <v>385</v>
      </c>
      <c r="C165" s="174">
        <v>400</v>
      </c>
      <c r="D165" s="176">
        <f t="shared" si="18"/>
        <v>50</v>
      </c>
      <c r="E165" s="179">
        <f>E123</f>
        <v>98.820767626605345</v>
      </c>
      <c r="F165" s="179">
        <f t="shared" ref="F165:N165" si="19">F123</f>
        <v>101.5988011988012</v>
      </c>
      <c r="G165" s="179">
        <f t="shared" si="19"/>
        <v>99.607203602279242</v>
      </c>
      <c r="H165" s="179">
        <f t="shared" si="19"/>
        <v>100.6734884569928</v>
      </c>
      <c r="I165" s="179">
        <f t="shared" si="19"/>
        <v>96.145557919231351</v>
      </c>
      <c r="J165" s="179">
        <f t="shared" si="19"/>
        <v>99.768207139120847</v>
      </c>
      <c r="K165" s="179">
        <f t="shared" si="19"/>
        <v>110.64117881790398</v>
      </c>
      <c r="L165" s="179">
        <f t="shared" si="19"/>
        <v>73.198801198801192</v>
      </c>
      <c r="M165" s="179">
        <f t="shared" si="19"/>
        <v>91.598801198801198</v>
      </c>
      <c r="N165" s="179">
        <f t="shared" si="19"/>
        <v>99.918801198801191</v>
      </c>
      <c r="O165" s="11"/>
      <c r="P165" s="11"/>
      <c r="Q165" s="11"/>
      <c r="R165" s="11"/>
      <c r="S165" s="11"/>
      <c r="T165" s="11"/>
      <c r="U165" s="12"/>
      <c r="V165" s="46"/>
    </row>
    <row r="166" spans="1:23" ht="15" customHeight="1">
      <c r="A166" s="46"/>
      <c r="B166" s="10"/>
      <c r="C166" s="11"/>
      <c r="D166" s="11"/>
      <c r="E166" s="11"/>
      <c r="F166" s="11"/>
      <c r="G166" s="11"/>
      <c r="H166" s="11"/>
      <c r="I166" s="11"/>
      <c r="J166" s="11"/>
      <c r="K166" s="11"/>
      <c r="L166" s="11"/>
      <c r="M166" s="11"/>
      <c r="N166" s="11"/>
      <c r="O166" s="11"/>
      <c r="P166" s="11"/>
      <c r="Q166" s="11"/>
      <c r="R166" s="11"/>
      <c r="S166" s="11"/>
      <c r="T166" s="11"/>
      <c r="U166" s="12"/>
      <c r="V166" s="46"/>
    </row>
    <row r="167" spans="1:23" ht="14.5" customHeight="1">
      <c r="A167" s="46"/>
      <c r="B167" s="10"/>
      <c r="C167" s="552"/>
      <c r="D167" s="553"/>
      <c r="E167" s="557" t="s">
        <v>360</v>
      </c>
      <c r="F167" s="501"/>
      <c r="G167" s="501"/>
      <c r="H167" s="501"/>
      <c r="I167" s="454"/>
      <c r="J167" s="455"/>
      <c r="K167" s="455"/>
      <c r="L167" s="455"/>
      <c r="M167" s="455"/>
      <c r="N167" s="457"/>
      <c r="O167" s="11"/>
      <c r="P167" s="11"/>
      <c r="Q167" s="11"/>
      <c r="R167" s="11"/>
      <c r="S167" s="11"/>
      <c r="T167" s="11"/>
      <c r="U167" s="12"/>
      <c r="V167" s="46"/>
    </row>
    <row r="168" spans="1:23" s="40" customFormat="1" ht="44.5" customHeight="1">
      <c r="A168" s="46"/>
      <c r="B168" s="10"/>
      <c r="C168" s="550" t="s">
        <v>266</v>
      </c>
      <c r="D168" s="469" t="s">
        <v>338</v>
      </c>
      <c r="E168" s="124" t="s">
        <v>350</v>
      </c>
      <c r="F168" s="351" t="s">
        <v>713</v>
      </c>
      <c r="G168" s="92" t="s">
        <v>351</v>
      </c>
      <c r="H168" s="92" t="s">
        <v>352</v>
      </c>
      <c r="I168" s="92" t="s">
        <v>353</v>
      </c>
      <c r="J168" s="405" t="s">
        <v>347</v>
      </c>
      <c r="K168" s="405" t="s">
        <v>348</v>
      </c>
      <c r="L168" s="405" t="s">
        <v>354</v>
      </c>
      <c r="M168" s="405" t="s">
        <v>355</v>
      </c>
      <c r="N168" s="92" t="s">
        <v>356</v>
      </c>
      <c r="O168" s="11"/>
      <c r="P168" s="11"/>
      <c r="Q168" s="11"/>
      <c r="R168" s="11"/>
      <c r="S168" s="11"/>
      <c r="T168" s="11"/>
      <c r="U168" s="12"/>
      <c r="V168" s="46"/>
    </row>
    <row r="169" spans="1:23" s="40" customFormat="1">
      <c r="A169" s="46"/>
      <c r="B169" s="10"/>
      <c r="C169" s="174">
        <v>80</v>
      </c>
      <c r="D169" s="176">
        <f>$G$133*C169+$I$133</f>
        <v>30</v>
      </c>
      <c r="E169" s="179">
        <f>$D$169*LOG(C169/$D$134)+$E$175</f>
        <v>77.059855036048532</v>
      </c>
      <c r="F169" s="179">
        <f>$D$169*LOG(C169/$D$134)+$F$175</f>
        <v>79.837888608244384</v>
      </c>
      <c r="G169" s="179">
        <f>$D$169*LOG(C169/$D$134)+$G$175</f>
        <v>77.846291011722428</v>
      </c>
      <c r="H169" s="179">
        <f>$D$169*LOG(C169/$D$134)+$H$175</f>
        <v>78.912575866435986</v>
      </c>
      <c r="I169" s="179">
        <f>$D$169*LOG(C169/$D$134)+$I$175</f>
        <v>74.384645328674537</v>
      </c>
      <c r="J169" s="179">
        <f>$D$169*LOG(C169/$D$134)+$J$175</f>
        <v>78.007294548564033</v>
      </c>
      <c r="K169" s="179">
        <f>$D$169*LOG(C169/$D$134)+$K$175</f>
        <v>88.880266227347164</v>
      </c>
      <c r="L169" s="179">
        <f>$D$169*LOG(C169/$D$134)+$L$175</f>
        <v>51.437888608244378</v>
      </c>
      <c r="M169" s="179">
        <f>$D$169*LOG(C169/$D$134)+$M$175</f>
        <v>69.837888608244384</v>
      </c>
      <c r="N169" s="179">
        <f>$D$169*LOG(C169/$D$134)+$N$175</f>
        <v>78.157888608244377</v>
      </c>
      <c r="O169" s="11"/>
      <c r="P169" s="11"/>
      <c r="Q169" s="11"/>
      <c r="R169" s="11"/>
      <c r="S169" s="11"/>
      <c r="T169" s="11"/>
      <c r="U169" s="12"/>
      <c r="V169" s="46"/>
    </row>
    <row r="170" spans="1:23" s="40" customFormat="1">
      <c r="A170" s="46"/>
      <c r="B170" s="10"/>
      <c r="C170" s="174">
        <v>150</v>
      </c>
      <c r="D170" s="176">
        <f t="shared" ref="D170:D175" si="20">$G$133*C170+$I$133</f>
        <v>34.375</v>
      </c>
      <c r="E170" s="179">
        <f>$D$170*LOG(C170/$D$134)+$E$175</f>
        <v>83.386279994269429</v>
      </c>
      <c r="F170" s="179">
        <f>$D$170*LOG(C170/$D$134)+$F$175</f>
        <v>86.164313566465282</v>
      </c>
      <c r="G170" s="179">
        <f>$D$170*LOG(C170/$D$134)+$G$175</f>
        <v>84.172715969943326</v>
      </c>
      <c r="H170" s="179">
        <f>$D$170*LOG(C170/$D$134)+$H$175</f>
        <v>85.239000824656884</v>
      </c>
      <c r="I170" s="179">
        <f>$D$170*LOG(C170/$D$134)+$I$175</f>
        <v>80.711070286895435</v>
      </c>
      <c r="J170" s="179">
        <f>$D$170*LOG(C170/$D$134)+$J$175</f>
        <v>84.333719506784931</v>
      </c>
      <c r="K170" s="179">
        <f>$D$170*LOG(C170/$D$134)+$K$175</f>
        <v>95.206691185568062</v>
      </c>
      <c r="L170" s="179">
        <f>$D$170*LOG(C170/$D$134)+$L$175</f>
        <v>57.764313566465276</v>
      </c>
      <c r="M170" s="179">
        <f>$D$170*LOG(C170/$D$134)+$M$175</f>
        <v>76.164313566465282</v>
      </c>
      <c r="N170" s="179">
        <f>$D$170*LOG(C170/$D$134)+$N$175</f>
        <v>84.484313566465275</v>
      </c>
      <c r="O170" s="11"/>
      <c r="P170" s="11"/>
      <c r="Q170" s="11"/>
      <c r="R170" s="11"/>
      <c r="S170" s="11"/>
      <c r="T170" s="11"/>
      <c r="U170" s="12"/>
      <c r="V170" s="46"/>
    </row>
    <row r="171" spans="1:23" s="40" customFormat="1">
      <c r="A171" s="46"/>
      <c r="B171" s="10"/>
      <c r="C171" s="174">
        <v>200</v>
      </c>
      <c r="D171" s="176">
        <f t="shared" si="20"/>
        <v>37.5</v>
      </c>
      <c r="E171" s="179">
        <f>$D$171*LOG(C171/$D$134)+$E$175</f>
        <v>86.740330328729797</v>
      </c>
      <c r="F171" s="179">
        <f>$D$171*LOG(C171/$D$134)+$F$175</f>
        <v>89.51836390092565</v>
      </c>
      <c r="G171" s="179">
        <f>$D$171*LOG(C171/$D$134)+$G$175</f>
        <v>87.526766304403694</v>
      </c>
      <c r="H171" s="179">
        <f>$D$171*LOG(C171/$D$134)+$H$175</f>
        <v>88.593051159117252</v>
      </c>
      <c r="I171" s="179">
        <f>$D$171*LOG(C171/$D$134)+$I$175</f>
        <v>84.065120621355803</v>
      </c>
      <c r="J171" s="179">
        <f>$D$171*LOG(C171/$D$134)+$J$175</f>
        <v>87.687769841245299</v>
      </c>
      <c r="K171" s="179">
        <f>$D$171*LOG(C171/$D$134)+$K$175</f>
        <v>98.560741520028429</v>
      </c>
      <c r="L171" s="179">
        <f>$D$171*LOG(C171/$D$134)+$L$175</f>
        <v>61.118363900925644</v>
      </c>
      <c r="M171" s="179">
        <f>$D$171*LOG(C171/$D$134)+$M$175</f>
        <v>79.51836390092565</v>
      </c>
      <c r="N171" s="179">
        <f>$D$171*LOG(C171/$D$134)+$N$175</f>
        <v>87.838363900925643</v>
      </c>
      <c r="O171" s="11"/>
      <c r="P171" s="11"/>
      <c r="Q171" s="11"/>
      <c r="R171" s="11"/>
      <c r="S171" s="11"/>
      <c r="T171" s="11"/>
      <c r="U171" s="12"/>
      <c r="V171" s="46"/>
      <c r="W171" s="46"/>
    </row>
    <row r="172" spans="1:23" s="40" customFormat="1">
      <c r="A172" s="46"/>
      <c r="B172" s="10"/>
      <c r="C172" s="174">
        <v>250</v>
      </c>
      <c r="D172" s="176">
        <f t="shared" si="20"/>
        <v>40.625</v>
      </c>
      <c r="E172" s="179">
        <f>$D$172*LOG(C172/$D$134)+$E$175</f>
        <v>89.736580870732155</v>
      </c>
      <c r="F172" s="179">
        <f>$D$172*LOG(C172/$D$134)+$F$175</f>
        <v>92.514614442928007</v>
      </c>
      <c r="G172" s="179">
        <f>$D$172*LOG(C172/$D$134)+$G$175</f>
        <v>90.523016846406051</v>
      </c>
      <c r="H172" s="179">
        <f>$D$172*LOG(C172/$D$134)+$H$175</f>
        <v>91.589301701119609</v>
      </c>
      <c r="I172" s="179">
        <f>$D$172*LOG(C172/$D$134)+$I$175</f>
        <v>87.06137116335816</v>
      </c>
      <c r="J172" s="179">
        <f>$D$172*LOG(C172/$D$134)+$J$175</f>
        <v>90.684020383247656</v>
      </c>
      <c r="K172" s="179">
        <f>$D$172*LOG(C172/$D$134)+$K$175</f>
        <v>101.55699206203079</v>
      </c>
      <c r="L172" s="179">
        <f>$D$172*LOG(C172/$D$134)+$L$175</f>
        <v>64.114614442928001</v>
      </c>
      <c r="M172" s="179">
        <f>$D$172*LOG(C172/$D$134)+$M$175</f>
        <v>82.514614442928007</v>
      </c>
      <c r="N172" s="179">
        <f>$D$172*LOG(C172/$D$134)+$N$175</f>
        <v>90.834614442928</v>
      </c>
      <c r="O172" s="11"/>
      <c r="P172" s="11"/>
      <c r="Q172" s="11"/>
      <c r="R172" s="11"/>
      <c r="S172" s="11"/>
      <c r="T172" s="11"/>
      <c r="U172" s="12"/>
      <c r="V172" s="46"/>
      <c r="W172" s="46"/>
    </row>
    <row r="173" spans="1:23">
      <c r="A173" s="46"/>
      <c r="B173" s="116"/>
      <c r="C173" s="174">
        <v>300</v>
      </c>
      <c r="D173" s="176">
        <f t="shared" si="20"/>
        <v>43.75</v>
      </c>
      <c r="E173" s="179">
        <f>$D$173*LOG(C173/$D$134)+$E$175</f>
        <v>92.562885439515966</v>
      </c>
      <c r="F173" s="179">
        <f>$D$173*LOG(C173/$D$134)+$F$175</f>
        <v>95.340919011711819</v>
      </c>
      <c r="G173" s="179">
        <f>$D$173*LOG(C173/$D$134)+$G$175</f>
        <v>93.349321415189863</v>
      </c>
      <c r="H173" s="179">
        <f>$D$173*LOG(C173/$D$134)+$H$175</f>
        <v>94.415606269903421</v>
      </c>
      <c r="I173" s="179">
        <f>$D$173*LOG(C173/$D$134)+$I$175</f>
        <v>89.887675732141972</v>
      </c>
      <c r="J173" s="179">
        <f>$D$173*LOG(C173/$D$134)+$J$175</f>
        <v>93.510324952031468</v>
      </c>
      <c r="K173" s="179">
        <f>$D$173*LOG(C173/$D$134)+$K$175</f>
        <v>104.3832966308146</v>
      </c>
      <c r="L173" s="179">
        <f>$D$173*LOG(C173/$D$134)+$L$175</f>
        <v>66.940919011711813</v>
      </c>
      <c r="M173" s="179">
        <f>$D$173*LOG(C173/$D$134)+$M$175</f>
        <v>85.340919011711819</v>
      </c>
      <c r="N173" s="179">
        <f>$D$173*LOG(C173/$D$134)+$N$175</f>
        <v>93.660919011711812</v>
      </c>
      <c r="O173" s="11"/>
      <c r="P173" s="11"/>
      <c r="Q173" s="11"/>
      <c r="R173" s="11"/>
      <c r="S173" s="11"/>
      <c r="T173" s="11"/>
      <c r="U173" s="12"/>
      <c r="V173" s="46"/>
      <c r="W173" s="46"/>
    </row>
    <row r="174" spans="1:23">
      <c r="A174" s="46"/>
      <c r="B174" s="116"/>
      <c r="C174" s="174">
        <v>350</v>
      </c>
      <c r="D174" s="176">
        <f t="shared" si="20"/>
        <v>46.875</v>
      </c>
      <c r="E174" s="179">
        <f>$D$174*LOG(C174/$D$134)+$E$175</f>
        <v>95.310582651550021</v>
      </c>
      <c r="F174" s="179">
        <f>$D$174*LOG(C174/$D$134)+$F$175</f>
        <v>98.088616223745873</v>
      </c>
      <c r="G174" s="179">
        <f>$D$174*LOG(C174/$D$134)+$G$175</f>
        <v>96.097018627223918</v>
      </c>
      <c r="H174" s="179">
        <f>$D$174*LOG(C174/$D$134)+$H$175</f>
        <v>97.163303481937476</v>
      </c>
      <c r="I174" s="179">
        <f>$D$174*LOG(C174/$D$134)+$I$175</f>
        <v>92.635372944176027</v>
      </c>
      <c r="J174" s="179">
        <f>$D$174*LOG(C174/$D$134)+$J$175</f>
        <v>96.258022164065522</v>
      </c>
      <c r="K174" s="179">
        <f>$D$174*LOG(C174/$D$134)+$K$175</f>
        <v>107.13099384284865</v>
      </c>
      <c r="L174" s="179">
        <f>$D$174*LOG(C174/$D$134)+$L$175</f>
        <v>69.688616223745868</v>
      </c>
      <c r="M174" s="179">
        <f>$D$174*LOG(C174/$D$134)+$M$175</f>
        <v>88.088616223745873</v>
      </c>
      <c r="N174" s="179">
        <f>$D$174*LOG(C174/$D$134)+$N$175</f>
        <v>96.408616223745867</v>
      </c>
      <c r="O174" s="11"/>
      <c r="P174" s="11"/>
      <c r="Q174" s="11"/>
      <c r="R174" s="11"/>
      <c r="S174" s="11"/>
      <c r="T174" s="11"/>
      <c r="U174" s="12"/>
      <c r="V174" s="46"/>
    </row>
    <row r="175" spans="1:23">
      <c r="A175" s="46"/>
      <c r="B175" s="155" t="s">
        <v>385</v>
      </c>
      <c r="C175" s="174">
        <v>400</v>
      </c>
      <c r="D175" s="176">
        <f t="shared" si="20"/>
        <v>50</v>
      </c>
      <c r="E175" s="179">
        <f>E124</f>
        <v>98.028955166129094</v>
      </c>
      <c r="F175" s="179">
        <f t="shared" ref="F175:N175" si="21">F124</f>
        <v>100.80698873832495</v>
      </c>
      <c r="G175" s="179">
        <f t="shared" si="21"/>
        <v>98.815391141802991</v>
      </c>
      <c r="H175" s="179">
        <f t="shared" si="21"/>
        <v>99.881675996516549</v>
      </c>
      <c r="I175" s="179">
        <f t="shared" si="21"/>
        <v>95.3537454587551</v>
      </c>
      <c r="J175" s="179">
        <f t="shared" si="21"/>
        <v>98.976394678644596</v>
      </c>
      <c r="K175" s="179">
        <f t="shared" si="21"/>
        <v>109.84936635742773</v>
      </c>
      <c r="L175" s="179">
        <f t="shared" si="21"/>
        <v>72.406988738324941</v>
      </c>
      <c r="M175" s="179">
        <f t="shared" si="21"/>
        <v>90.806988738324947</v>
      </c>
      <c r="N175" s="179">
        <f t="shared" si="21"/>
        <v>99.12698873832494</v>
      </c>
      <c r="O175" s="11"/>
      <c r="P175" s="11"/>
      <c r="Q175" s="11"/>
      <c r="R175" s="11"/>
      <c r="S175" s="11"/>
      <c r="T175" s="11"/>
      <c r="U175" s="12"/>
      <c r="V175" s="46"/>
    </row>
    <row r="176" spans="1:23" s="40" customFormat="1">
      <c r="A176" s="46"/>
      <c r="B176" s="116"/>
      <c r="C176" s="117"/>
      <c r="D176" s="184"/>
      <c r="E176" s="185"/>
      <c r="F176" s="185"/>
      <c r="G176" s="185"/>
      <c r="H176" s="185"/>
      <c r="I176" s="185"/>
      <c r="J176" s="185"/>
      <c r="K176" s="185"/>
      <c r="L176" s="185"/>
      <c r="M176" s="185"/>
      <c r="N176" s="185"/>
      <c r="O176" s="11"/>
      <c r="P176" s="11"/>
      <c r="Q176" s="11"/>
      <c r="R176" s="11"/>
      <c r="S176" s="11"/>
      <c r="T176" s="11"/>
      <c r="U176" s="12"/>
      <c r="V176" s="46"/>
    </row>
    <row r="177" spans="1:22" s="40" customFormat="1" ht="16.5">
      <c r="A177" s="46"/>
      <c r="B177" s="116" t="s">
        <v>361</v>
      </c>
      <c r="C177" s="117"/>
      <c r="D177" s="184"/>
      <c r="E177" s="185"/>
      <c r="F177" s="185"/>
      <c r="G177" s="185"/>
      <c r="H177" s="185"/>
      <c r="I177" s="185"/>
      <c r="J177" s="185"/>
      <c r="K177" s="185"/>
      <c r="L177" s="185"/>
      <c r="M177" s="185"/>
      <c r="N177" s="185"/>
      <c r="O177" s="11"/>
      <c r="P177" s="11"/>
      <c r="Q177" s="11"/>
      <c r="R177" s="11"/>
      <c r="S177" s="11"/>
      <c r="T177" s="11"/>
      <c r="U177" s="12"/>
      <c r="V177" s="46"/>
    </row>
    <row r="178" spans="1:22" s="40" customFormat="1">
      <c r="A178" s="46"/>
      <c r="B178" s="116" t="s">
        <v>364</v>
      </c>
      <c r="C178" s="117"/>
      <c r="D178" s="184"/>
      <c r="E178" s="185"/>
      <c r="F178" s="185"/>
      <c r="G178" s="185"/>
      <c r="H178" s="185"/>
      <c r="I178" s="185"/>
      <c r="J178" s="185"/>
      <c r="K178" s="185"/>
      <c r="L178" s="185"/>
      <c r="M178" s="185"/>
      <c r="N178" s="185"/>
      <c r="O178" s="11"/>
      <c r="P178" s="11"/>
      <c r="Q178" s="11"/>
      <c r="R178" s="11"/>
      <c r="S178" s="11"/>
      <c r="T178" s="11"/>
      <c r="U178" s="12"/>
      <c r="V178" s="46"/>
    </row>
    <row r="179" spans="1:22" s="40" customFormat="1">
      <c r="A179" s="46"/>
      <c r="B179" s="116" t="s">
        <v>362</v>
      </c>
      <c r="C179" s="117"/>
      <c r="D179" s="184"/>
      <c r="E179" s="185"/>
      <c r="F179" s="185"/>
      <c r="G179" s="185"/>
      <c r="H179" s="185"/>
      <c r="I179" s="185"/>
      <c r="J179" s="185"/>
      <c r="K179" s="185"/>
      <c r="L179" s="185"/>
      <c r="M179" s="185"/>
      <c r="N179" s="185"/>
      <c r="O179" s="11"/>
      <c r="P179" s="11"/>
      <c r="Q179" s="11"/>
      <c r="R179" s="11"/>
      <c r="S179" s="11"/>
      <c r="T179" s="11"/>
      <c r="U179" s="12"/>
      <c r="V179" s="46"/>
    </row>
    <row r="180" spans="1:22">
      <c r="A180" s="46"/>
      <c r="B180" s="188" t="s">
        <v>363</v>
      </c>
      <c r="C180" s="76"/>
      <c r="D180" s="66"/>
      <c r="E180" s="76"/>
      <c r="F180" s="11"/>
      <c r="G180" s="11"/>
      <c r="H180" s="11"/>
      <c r="I180" s="11"/>
      <c r="J180" s="11"/>
      <c r="K180" s="11"/>
      <c r="L180" s="11"/>
      <c r="M180" s="11"/>
      <c r="N180" s="11"/>
      <c r="O180" s="11"/>
      <c r="P180" s="11"/>
      <c r="Q180" s="11"/>
      <c r="R180" s="11"/>
      <c r="S180" s="11"/>
      <c r="T180" s="11"/>
      <c r="U180" s="12"/>
      <c r="V180" s="46"/>
    </row>
    <row r="181" spans="1:22">
      <c r="A181" s="46"/>
      <c r="B181" s="116"/>
      <c r="C181" s="76"/>
      <c r="D181" s="66"/>
      <c r="E181" s="76"/>
      <c r="F181" s="11"/>
      <c r="G181" s="11"/>
      <c r="H181" s="11"/>
      <c r="I181" s="11"/>
      <c r="J181" s="11"/>
      <c r="K181" s="11"/>
      <c r="L181" s="11"/>
      <c r="M181" s="11"/>
      <c r="N181" s="11"/>
      <c r="O181" s="11"/>
      <c r="P181" s="11"/>
      <c r="Q181" s="11"/>
      <c r="R181" s="11"/>
      <c r="S181" s="11"/>
      <c r="T181" s="11"/>
      <c r="U181" s="12"/>
      <c r="V181" s="46"/>
    </row>
    <row r="182" spans="1:22" ht="16.5">
      <c r="A182" s="46"/>
      <c r="B182" s="116" t="s">
        <v>365</v>
      </c>
      <c r="C182" s="76"/>
      <c r="D182" s="66"/>
      <c r="E182" s="76"/>
      <c r="F182" s="11"/>
      <c r="G182" s="11"/>
      <c r="H182" s="11"/>
      <c r="I182" s="11"/>
      <c r="J182" s="11"/>
      <c r="K182" s="11"/>
      <c r="L182" s="11"/>
      <c r="M182" s="11"/>
      <c r="N182" s="11"/>
      <c r="O182" s="11"/>
      <c r="P182" s="11"/>
      <c r="Q182" s="11"/>
      <c r="R182" s="11"/>
      <c r="S182" s="11"/>
      <c r="T182" s="11"/>
      <c r="U182" s="12"/>
      <c r="V182" s="46"/>
    </row>
    <row r="183" spans="1:22">
      <c r="A183" s="46"/>
      <c r="B183" s="116"/>
      <c r="C183" s="11"/>
      <c r="D183" s="66"/>
      <c r="E183" s="561" t="s">
        <v>425</v>
      </c>
      <c r="F183" s="449"/>
      <c r="G183" s="449"/>
      <c r="H183" s="450"/>
      <c r="I183" s="564" t="s">
        <v>426</v>
      </c>
      <c r="J183" s="565"/>
      <c r="K183" s="566"/>
      <c r="L183" s="568" t="s">
        <v>427</v>
      </c>
      <c r="M183" s="565"/>
      <c r="N183" s="565"/>
      <c r="O183" s="565"/>
      <c r="P183" s="566"/>
      <c r="Q183" s="11"/>
      <c r="R183" s="11"/>
      <c r="S183" s="11"/>
      <c r="T183" s="11"/>
      <c r="U183" s="12"/>
      <c r="V183" s="46"/>
    </row>
    <row r="184" spans="1:22" ht="15">
      <c r="A184" s="46"/>
      <c r="B184" s="116"/>
      <c r="C184" s="11"/>
      <c r="D184" s="66"/>
      <c r="E184" s="162" t="s">
        <v>431</v>
      </c>
      <c r="F184" s="125"/>
      <c r="G184" s="237">
        <f>E139</f>
        <v>84.93263506611035</v>
      </c>
      <c r="H184" s="238" t="s">
        <v>28</v>
      </c>
      <c r="I184" s="125"/>
      <c r="J184" s="239">
        <f>E145-30*LOG(400/80)</f>
        <v>84.93263506611035</v>
      </c>
      <c r="K184" s="212" t="s">
        <v>28</v>
      </c>
      <c r="L184" s="125" t="s">
        <v>432</v>
      </c>
      <c r="M184" s="125"/>
      <c r="N184" s="125"/>
      <c r="O184" s="125"/>
      <c r="P184" s="125"/>
      <c r="Q184" s="11"/>
      <c r="R184" s="11"/>
      <c r="S184" s="11"/>
      <c r="T184" s="11"/>
      <c r="U184" s="12"/>
      <c r="V184" s="46"/>
    </row>
    <row r="185" spans="1:22" ht="15">
      <c r="A185" s="46"/>
      <c r="B185" s="116"/>
      <c r="C185" s="11"/>
      <c r="D185" s="66"/>
      <c r="E185" s="162" t="s">
        <v>433</v>
      </c>
      <c r="F185" s="125"/>
      <c r="G185" s="237">
        <f>E142</f>
        <v>97.609360900793973</v>
      </c>
      <c r="H185" s="238" t="s">
        <v>28</v>
      </c>
      <c r="I185" s="125"/>
      <c r="J185" s="239">
        <f>E145-50*LOG(400/250)</f>
        <v>95.695736063394676</v>
      </c>
      <c r="K185" s="212" t="s">
        <v>28</v>
      </c>
      <c r="L185" s="125" t="s">
        <v>434</v>
      </c>
      <c r="M185" s="125"/>
      <c r="N185" s="125"/>
      <c r="O185" s="125"/>
      <c r="P185" s="125"/>
      <c r="Q185" s="11"/>
      <c r="R185" s="11"/>
      <c r="S185" s="11"/>
      <c r="T185" s="11"/>
      <c r="U185" s="12"/>
      <c r="V185" s="46"/>
    </row>
    <row r="186" spans="1:22">
      <c r="A186" s="46"/>
      <c r="B186" s="119"/>
      <c r="C186" s="18"/>
      <c r="D186" s="137"/>
      <c r="E186" s="120"/>
      <c r="F186" s="18"/>
      <c r="G186" s="18"/>
      <c r="H186" s="18"/>
      <c r="I186" s="18"/>
      <c r="J186" s="18"/>
      <c r="K186" s="18"/>
      <c r="L186" s="18"/>
      <c r="M186" s="18"/>
      <c r="N186" s="18"/>
      <c r="O186" s="18"/>
      <c r="P186" s="18"/>
      <c r="Q186" s="18"/>
      <c r="R186" s="18"/>
      <c r="S186" s="18"/>
      <c r="T186" s="18"/>
      <c r="U186" s="19"/>
      <c r="V186" s="46"/>
    </row>
    <row r="187" spans="1:22">
      <c r="A187" s="46"/>
      <c r="B187" s="20"/>
      <c r="D187" s="6"/>
      <c r="E187" s="20"/>
      <c r="V187" s="46"/>
    </row>
    <row r="188" spans="1:22">
      <c r="B188" s="20"/>
      <c r="D188" s="6"/>
      <c r="E188" s="20"/>
      <c r="V188" s="46"/>
    </row>
    <row r="189" spans="1:22">
      <c r="B189" s="20"/>
      <c r="C189" s="39"/>
      <c r="D189" s="6"/>
      <c r="E189" s="20"/>
      <c r="V189" s="46"/>
    </row>
    <row r="190" spans="1:22">
      <c r="D190" s="1"/>
    </row>
    <row r="191" spans="1:22">
      <c r="D191" s="1"/>
    </row>
    <row r="192" spans="1:22">
      <c r="D192" s="1"/>
    </row>
  </sheetData>
  <pageMargins left="0.7" right="0.7" top="0.75" bottom="0.75" header="0.3" footer="0.3"/>
  <pageSetup scale="45" fitToHeight="3" orientation="landscape" r:id="rId1"/>
  <ignoredErrors>
    <ignoredError sqref="K123"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Program Index &amp; Flow Chart</vt:lpstr>
      <vt:lpstr>Program Overview</vt:lpstr>
      <vt:lpstr>Train Set Data Requirements</vt:lpstr>
      <vt:lpstr>Passby Data Library Summary</vt:lpstr>
      <vt:lpstr>Regulations (US EU China Japan)</vt:lpstr>
      <vt:lpstr>Common Reference Analysis</vt:lpstr>
      <vt:lpstr>Data Set Comparisons</vt:lpstr>
      <vt:lpstr>Passby Data Set 1</vt:lpstr>
      <vt:lpstr>Passby Data Set 1 Output</vt:lpstr>
      <vt:lpstr>Passby Data Set 2</vt:lpstr>
      <vt:lpstr>Passby Data Set 2 Output</vt:lpstr>
      <vt:lpstr>Passby Data Set 3</vt:lpstr>
      <vt:lpstr>Passby Data Set 3 Output</vt:lpstr>
      <vt:lpstr>Passby Data Set 4</vt:lpstr>
      <vt:lpstr>Passby Data Set 4 Output</vt:lpstr>
      <vt:lpstr>Passby Data Set 5</vt:lpstr>
      <vt:lpstr>Passby Data Set 5 Output</vt:lpstr>
      <vt:lpstr>Common Reference Data Set</vt:lpstr>
      <vt:lpstr>Common ReferenceData Set Output</vt:lpstr>
      <vt:lpstr>'Train Set Data Requirements'!_Toc483907964</vt:lpstr>
      <vt:lpstr>'Train Set Data Requirements'!_Toc483907965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Paul</dc:creator>
  <cp:lastModifiedBy>Green, Medallio CTR (FRA)</cp:lastModifiedBy>
  <cp:lastPrinted>2019-09-29T19:43:15Z</cp:lastPrinted>
  <dcterms:created xsi:type="dcterms:W3CDTF">2019-06-24T18:14:55Z</dcterms:created>
  <dcterms:modified xsi:type="dcterms:W3CDTF">2022-01-10T15:18:35Z</dcterms:modified>
</cp:coreProperties>
</file>